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digby\Desktop\"/>
    </mc:Choice>
  </mc:AlternateContent>
  <bookViews>
    <workbookView xWindow="0" yWindow="0" windowWidth="28800" windowHeight="11310" activeTab="1"/>
    <workbookView xWindow="0" yWindow="0" windowWidth="28800" windowHeight="12210"/>
  </bookViews>
  <sheets>
    <sheet name="Introduction" sheetId="3" r:id="rId1"/>
    <sheet name="Calculator" sheetId="1" r:id="rId2"/>
    <sheet name="Cashflow" sheetId="4" r:id="rId3"/>
    <sheet name="Indicative Income Tables" sheetId="2" r:id="rId4"/>
  </sheets>
  <externalReferences>
    <externalReference r:id="rId5"/>
  </externalReferences>
  <definedNames>
    <definedName name="Accruals">[1]Forecast!$E:$E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2" l="1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4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23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4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23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23" i="2"/>
  <c r="G6" i="1"/>
  <c r="Y5" i="2" l="1"/>
  <c r="Y6" i="2"/>
  <c r="Z6" i="2" s="1"/>
  <c r="AA6" i="2" s="1"/>
  <c r="Y7" i="2"/>
  <c r="Y8" i="2"/>
  <c r="Y9" i="2"/>
  <c r="Z9" i="2" s="1"/>
  <c r="AA9" i="2" s="1"/>
  <c r="Y10" i="2"/>
  <c r="Z10" i="2" s="1"/>
  <c r="AA10" i="2" s="1"/>
  <c r="Y11" i="2"/>
  <c r="Y12" i="2"/>
  <c r="Y13" i="2"/>
  <c r="Y14" i="2"/>
  <c r="Z14" i="2" s="1"/>
  <c r="AA14" i="2" s="1"/>
  <c r="Y15" i="2"/>
  <c r="Y16" i="2"/>
  <c r="Y17" i="2"/>
  <c r="Y18" i="2"/>
  <c r="Z18" i="2" s="1"/>
  <c r="AA18" i="2" s="1"/>
  <c r="Y4" i="2"/>
  <c r="Z17" i="2"/>
  <c r="AA17" i="2" s="1"/>
  <c r="Z16" i="2"/>
  <c r="AA16" i="2" s="1"/>
  <c r="Z15" i="2"/>
  <c r="AA15" i="2" s="1"/>
  <c r="Z13" i="2"/>
  <c r="AA13" i="2" s="1"/>
  <c r="Z12" i="2"/>
  <c r="AA12" i="2" s="1"/>
  <c r="Z11" i="2"/>
  <c r="AA11" i="2" s="1"/>
  <c r="Z8" i="2"/>
  <c r="AA8" i="2" s="1"/>
  <c r="Z7" i="2"/>
  <c r="AA7" i="2" s="1"/>
  <c r="Z5" i="2"/>
  <c r="AA5" i="2" s="1"/>
  <c r="Z4" i="2"/>
  <c r="AA4" i="2" s="1"/>
  <c r="P4" i="2"/>
  <c r="Q4" i="2" s="1"/>
  <c r="R4" i="2" s="1"/>
  <c r="Q18" i="2"/>
  <c r="R18" i="2" s="1"/>
  <c r="P18" i="2"/>
  <c r="P17" i="2"/>
  <c r="Q17" i="2" s="1"/>
  <c r="R17" i="2" s="1"/>
  <c r="P16" i="2"/>
  <c r="Q16" i="2" s="1"/>
  <c r="R16" i="2" s="1"/>
  <c r="P15" i="2"/>
  <c r="Q15" i="2" s="1"/>
  <c r="R15" i="2" s="1"/>
  <c r="Q14" i="2"/>
  <c r="R14" i="2" s="1"/>
  <c r="P14" i="2"/>
  <c r="P13" i="2"/>
  <c r="Q13" i="2" s="1"/>
  <c r="R13" i="2" s="1"/>
  <c r="P12" i="2"/>
  <c r="Q12" i="2" s="1"/>
  <c r="R12" i="2" s="1"/>
  <c r="P11" i="2"/>
  <c r="Q11" i="2" s="1"/>
  <c r="R11" i="2" s="1"/>
  <c r="Q10" i="2"/>
  <c r="R10" i="2" s="1"/>
  <c r="P10" i="2"/>
  <c r="P9" i="2"/>
  <c r="Q9" i="2" s="1"/>
  <c r="R9" i="2" s="1"/>
  <c r="P8" i="2"/>
  <c r="Q8" i="2" s="1"/>
  <c r="R8" i="2" s="1"/>
  <c r="P7" i="2"/>
  <c r="Q7" i="2" s="1"/>
  <c r="R7" i="2" s="1"/>
  <c r="Q6" i="2"/>
  <c r="R6" i="2" s="1"/>
  <c r="P6" i="2"/>
  <c r="P5" i="2"/>
  <c r="Q5" i="2" s="1"/>
  <c r="R5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4" i="2"/>
  <c r="F4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4" i="2"/>
  <c r="Z80" i="1"/>
  <c r="Z89" i="1"/>
  <c r="F50" i="1" s="1"/>
  <c r="Z99" i="1"/>
  <c r="AE69" i="4"/>
  <c r="G14" i="1" l="1"/>
  <c r="J14" i="1"/>
  <c r="J17" i="1" s="1"/>
  <c r="G17" i="1" l="1"/>
  <c r="G16" i="1" l="1"/>
  <c r="J16" i="1" l="1"/>
  <c r="E51" i="1" l="1"/>
  <c r="E50" i="1"/>
  <c r="F55" i="1"/>
  <c r="E55" i="1"/>
  <c r="F54" i="1"/>
  <c r="E54" i="1"/>
  <c r="F53" i="1"/>
  <c r="E53" i="1"/>
  <c r="F52" i="1"/>
  <c r="F51" i="1"/>
  <c r="U37" i="1"/>
  <c r="U36" i="1"/>
  <c r="U35" i="1"/>
  <c r="T37" i="1"/>
  <c r="T36" i="1"/>
  <c r="T35" i="1"/>
  <c r="N37" i="1"/>
  <c r="N36" i="1"/>
  <c r="N35" i="1"/>
  <c r="F49" i="1" l="1"/>
  <c r="E52" i="1"/>
  <c r="U34" i="1"/>
  <c r="U33" i="1"/>
  <c r="U32" i="1"/>
  <c r="U31" i="1"/>
  <c r="U30" i="1"/>
  <c r="T34" i="1"/>
  <c r="T33" i="1"/>
  <c r="T32" i="1"/>
  <c r="T31" i="1"/>
  <c r="T30" i="1"/>
  <c r="J38" i="1" l="1"/>
  <c r="J39" i="1" s="1"/>
  <c r="L38" i="1"/>
  <c r="L39" i="1" s="1"/>
  <c r="E8" i="4"/>
  <c r="E14" i="4" s="1"/>
  <c r="H30" i="4" s="1"/>
  <c r="AE81" i="4"/>
  <c r="AE80" i="4"/>
  <c r="AE79" i="4"/>
  <c r="AE74" i="4"/>
  <c r="AE66" i="4"/>
  <c r="AE63" i="4"/>
  <c r="AD55" i="4"/>
  <c r="AD54" i="4"/>
  <c r="AD53" i="4"/>
  <c r="AE47" i="4"/>
  <c r="AE46" i="4"/>
  <c r="AE45" i="4"/>
  <c r="AE39" i="4"/>
  <c r="AE38" i="4"/>
  <c r="AE37" i="4"/>
  <c r="E37" i="4"/>
  <c r="AE28" i="4"/>
  <c r="AE27" i="4"/>
  <c r="AE26" i="4"/>
  <c r="F19" i="4"/>
  <c r="F37" i="4" s="1"/>
  <c r="E19" i="4"/>
  <c r="G17" i="4"/>
  <c r="F14" i="4" l="1"/>
  <c r="G15" i="4" s="1"/>
  <c r="H18" i="4"/>
  <c r="H23" i="4"/>
  <c r="F15" i="4"/>
  <c r="G16" i="4"/>
  <c r="G19" i="4" s="1"/>
  <c r="G37" i="4" s="1"/>
  <c r="H25" i="4"/>
  <c r="H22" i="4"/>
  <c r="H24" i="4"/>
  <c r="G14" i="4" l="1"/>
  <c r="J18" i="4" s="1"/>
  <c r="I25" i="4"/>
  <c r="I30" i="4"/>
  <c r="I24" i="4"/>
  <c r="I22" i="4"/>
  <c r="H16" i="4"/>
  <c r="I17" i="4" s="1"/>
  <c r="I23" i="4"/>
  <c r="I18" i="4"/>
  <c r="H17" i="4"/>
  <c r="G38" i="4"/>
  <c r="H31" i="4"/>
  <c r="H19" i="4" l="1"/>
  <c r="H37" i="4" s="1"/>
  <c r="H38" i="4" s="1"/>
  <c r="J23" i="4"/>
  <c r="H15" i="4"/>
  <c r="J22" i="4"/>
  <c r="J24" i="4"/>
  <c r="J25" i="4"/>
  <c r="H14" i="4"/>
  <c r="K18" i="4" s="1"/>
  <c r="J30" i="4"/>
  <c r="I16" i="4"/>
  <c r="J17" i="4" s="1"/>
  <c r="I31" i="4"/>
  <c r="I33" i="4" s="1"/>
  <c r="J31" i="4" l="1"/>
  <c r="J33" i="4" s="1"/>
  <c r="I19" i="4"/>
  <c r="I37" i="4" s="1"/>
  <c r="I38" i="4" s="1"/>
  <c r="I14" i="4"/>
  <c r="L30" i="4" s="1"/>
  <c r="I15" i="4"/>
  <c r="K22" i="4"/>
  <c r="K24" i="4"/>
  <c r="J16" i="4"/>
  <c r="K17" i="4" s="1"/>
  <c r="K30" i="4"/>
  <c r="K23" i="4"/>
  <c r="K25" i="4"/>
  <c r="J15" i="4" l="1"/>
  <c r="L23" i="4"/>
  <c r="L25" i="4"/>
  <c r="L24" i="4"/>
  <c r="J14" i="4"/>
  <c r="L22" i="4"/>
  <c r="L18" i="4"/>
  <c r="K16" i="4"/>
  <c r="L17" i="4" s="1"/>
  <c r="K31" i="4"/>
  <c r="K33" i="4" s="1"/>
  <c r="J19" i="4"/>
  <c r="J37" i="4" s="1"/>
  <c r="J38" i="4" s="1"/>
  <c r="K15" i="4" l="1"/>
  <c r="M30" i="4"/>
  <c r="K19" i="4"/>
  <c r="K37" i="4" s="1"/>
  <c r="K38" i="4" s="1"/>
  <c r="M24" i="4"/>
  <c r="L31" i="4"/>
  <c r="L33" i="4" s="1"/>
  <c r="M18" i="4"/>
  <c r="K14" i="4"/>
  <c r="L16" i="4"/>
  <c r="M17" i="4" s="1"/>
  <c r="M22" i="4"/>
  <c r="M23" i="4"/>
  <c r="M25" i="4"/>
  <c r="N18" i="4" l="1"/>
  <c r="N30" i="4"/>
  <c r="L19" i="4"/>
  <c r="L37" i="4" s="1"/>
  <c r="L38" i="4" s="1"/>
  <c r="N23" i="4"/>
  <c r="L14" i="4"/>
  <c r="N24" i="4"/>
  <c r="L15" i="4"/>
  <c r="M16" i="4"/>
  <c r="N17" i="4" s="1"/>
  <c r="N25" i="4"/>
  <c r="N22" i="4"/>
  <c r="M31" i="4"/>
  <c r="M33" i="4" s="1"/>
  <c r="O22" i="4" l="1"/>
  <c r="O30" i="4"/>
  <c r="M15" i="4"/>
  <c r="N16" i="4"/>
  <c r="O17" i="4" s="1"/>
  <c r="O23" i="4"/>
  <c r="O25" i="4"/>
  <c r="M14" i="4"/>
  <c r="O24" i="4"/>
  <c r="M19" i="4"/>
  <c r="M37" i="4" s="1"/>
  <c r="M38" i="4" s="1"/>
  <c r="N31" i="4"/>
  <c r="N33" i="4" s="1"/>
  <c r="P24" i="4" l="1"/>
  <c r="P30" i="4"/>
  <c r="N15" i="4"/>
  <c r="O31" i="4"/>
  <c r="O33" i="4" s="1"/>
  <c r="O16" i="4" s="1"/>
  <c r="P17" i="4" s="1"/>
  <c r="P25" i="4"/>
  <c r="P23" i="4"/>
  <c r="P22" i="4"/>
  <c r="N14" i="4"/>
  <c r="N19" i="4"/>
  <c r="N37" i="4" s="1"/>
  <c r="N38" i="4" s="1"/>
  <c r="O15" i="4" l="1"/>
  <c r="Q30" i="4"/>
  <c r="Q24" i="4"/>
  <c r="Q25" i="4"/>
  <c r="Q22" i="4"/>
  <c r="P31" i="4"/>
  <c r="P33" i="4" s="1"/>
  <c r="P16" i="4" s="1"/>
  <c r="Q17" i="4" s="1"/>
  <c r="O14" i="4"/>
  <c r="O18" i="4"/>
  <c r="O19" i="4" s="1"/>
  <c r="O37" i="4" s="1"/>
  <c r="O38" i="4" s="1"/>
  <c r="Q23" i="4"/>
  <c r="R24" i="4" l="1"/>
  <c r="R30" i="4"/>
  <c r="R23" i="4"/>
  <c r="Q31" i="4"/>
  <c r="Q33" i="4" s="1"/>
  <c r="N13" i="4" s="1"/>
  <c r="Q18" i="4" s="1"/>
  <c r="P15" i="4"/>
  <c r="R25" i="4"/>
  <c r="R22" i="4"/>
  <c r="P18" i="4"/>
  <c r="P19" i="4" s="1"/>
  <c r="P37" i="4" s="1"/>
  <c r="P38" i="4" s="1"/>
  <c r="P14" i="4"/>
  <c r="S30" i="4" s="1"/>
  <c r="Q16" i="4" l="1"/>
  <c r="R17" i="4" s="1"/>
  <c r="S26" i="4"/>
  <c r="R31" i="4"/>
  <c r="R33" i="4" s="1"/>
  <c r="O13" i="4" s="1"/>
  <c r="S23" i="4"/>
  <c r="Q15" i="4"/>
  <c r="S22" i="4"/>
  <c r="Q14" i="4"/>
  <c r="T30" i="4" s="1"/>
  <c r="S31" i="4" l="1"/>
  <c r="S33" i="4" s="1"/>
  <c r="P13" i="4" s="1"/>
  <c r="R18" i="4"/>
  <c r="Q19" i="4"/>
  <c r="Q37" i="4" s="1"/>
  <c r="Q38" i="4" s="1"/>
  <c r="R15" i="4"/>
  <c r="T26" i="4"/>
  <c r="R16" i="4"/>
  <c r="S17" i="4" s="1"/>
  <c r="T22" i="4"/>
  <c r="R14" i="4"/>
  <c r="T23" i="4" l="1"/>
  <c r="T31" i="4" s="1"/>
  <c r="T33" i="4" s="1"/>
  <c r="Q13" i="4" s="1"/>
  <c r="T18" i="4" s="1"/>
  <c r="U30" i="4"/>
  <c r="S16" i="4"/>
  <c r="T17" i="4" s="1"/>
  <c r="R19" i="4"/>
  <c r="R37" i="4" s="1"/>
  <c r="R38" i="4" s="1"/>
  <c r="U22" i="4"/>
  <c r="S14" i="4"/>
  <c r="V30" i="4" s="1"/>
  <c r="S15" i="4"/>
  <c r="U26" i="4"/>
  <c r="S18" i="4"/>
  <c r="S19" i="4" l="1"/>
  <c r="S37" i="4" s="1"/>
  <c r="S38" i="4" s="1"/>
  <c r="U23" i="4"/>
  <c r="U31" i="4" s="1"/>
  <c r="U33" i="4" s="1"/>
  <c r="R13" i="4" s="1"/>
  <c r="U16" i="4" s="1"/>
  <c r="V17" i="4" s="1"/>
  <c r="T14" i="4"/>
  <c r="W22" i="4" s="1"/>
  <c r="V26" i="4"/>
  <c r="V22" i="4"/>
  <c r="T15" i="4"/>
  <c r="T16" i="4"/>
  <c r="U17" i="4" s="1"/>
  <c r="U15" i="4" l="1"/>
  <c r="U14" i="4"/>
  <c r="X22" i="4" s="1"/>
  <c r="V23" i="4"/>
  <c r="V31" i="4" s="1"/>
  <c r="V33" i="4" s="1"/>
  <c r="S13" i="4" s="1"/>
  <c r="V16" i="4" s="1"/>
  <c r="W17" i="4" s="1"/>
  <c r="W26" i="4"/>
  <c r="W30" i="4"/>
  <c r="T19" i="4"/>
  <c r="T37" i="4" s="1"/>
  <c r="T38" i="4" s="1"/>
  <c r="U18" i="4"/>
  <c r="U19" i="4" s="1"/>
  <c r="U37" i="4" s="1"/>
  <c r="U38" i="4" s="1"/>
  <c r="V15" i="4" l="1"/>
  <c r="X30" i="4"/>
  <c r="V14" i="4"/>
  <c r="W15" i="4" s="1"/>
  <c r="X26" i="4"/>
  <c r="W23" i="4"/>
  <c r="V18" i="4"/>
  <c r="V19" i="4" l="1"/>
  <c r="V37" i="4" s="1"/>
  <c r="V38" i="4" s="1"/>
  <c r="Y26" i="4"/>
  <c r="X23" i="4"/>
  <c r="X31" i="4" s="1"/>
  <c r="W14" i="4"/>
  <c r="Y23" i="4" s="1"/>
  <c r="Y30" i="4"/>
  <c r="Y22" i="4"/>
  <c r="Y31" i="4" l="1"/>
  <c r="Y33" i="4" s="1"/>
  <c r="X14" i="4"/>
  <c r="Y15" i="4" s="1"/>
  <c r="X15" i="4"/>
  <c r="Y14" i="4" l="1"/>
  <c r="E49" i="1" l="1"/>
  <c r="G18" i="1" l="1"/>
  <c r="J26" i="1"/>
  <c r="J25" i="1"/>
  <c r="J24" i="1"/>
  <c r="J23" i="1"/>
  <c r="M34" i="1"/>
  <c r="K34" i="1"/>
  <c r="M33" i="1"/>
  <c r="K33" i="1"/>
  <c r="M32" i="1"/>
  <c r="K32" i="1"/>
  <c r="M31" i="1"/>
  <c r="K31" i="1"/>
  <c r="M30" i="1"/>
  <c r="K30" i="1"/>
  <c r="J27" i="1" l="1"/>
  <c r="W27" i="4" s="1"/>
  <c r="W31" i="4" s="1"/>
  <c r="G19" i="1"/>
  <c r="G50" i="1" s="1"/>
  <c r="I50" i="1" s="1"/>
  <c r="H54" i="1"/>
  <c r="H52" i="1"/>
  <c r="N30" i="1"/>
  <c r="N34" i="1"/>
  <c r="N33" i="1"/>
  <c r="N32" i="1"/>
  <c r="N31" i="1"/>
  <c r="X33" i="4" l="1"/>
  <c r="W33" i="4"/>
  <c r="T13" i="4" s="1"/>
  <c r="L43" i="1"/>
  <c r="L45" i="1" s="1"/>
  <c r="J18" i="1"/>
  <c r="J19" i="1" s="1"/>
  <c r="I49" i="1"/>
  <c r="U13" i="4" l="1"/>
  <c r="W18" i="4"/>
  <c r="W16" i="4"/>
  <c r="X17" i="4" s="1"/>
  <c r="G55" i="1"/>
  <c r="I55" i="1" s="1"/>
  <c r="K55" i="1" s="1"/>
  <c r="M55" i="1" s="1"/>
  <c r="G52" i="1"/>
  <c r="I52" i="1" s="1"/>
  <c r="K52" i="1" s="1"/>
  <c r="M52" i="1" s="1"/>
  <c r="G53" i="1"/>
  <c r="I53" i="1" s="1"/>
  <c r="K53" i="1" s="1"/>
  <c r="M53" i="1" s="1"/>
  <c r="G54" i="1"/>
  <c r="I54" i="1" s="1"/>
  <c r="K54" i="1" s="1"/>
  <c r="M54" i="1" s="1"/>
  <c r="G51" i="1"/>
  <c r="K50" i="1"/>
  <c r="M50" i="1" s="1"/>
  <c r="W19" i="4" l="1"/>
  <c r="W37" i="4" s="1"/>
  <c r="W38" i="4" s="1"/>
  <c r="X16" i="4"/>
  <c r="Y17" i="4" s="1"/>
  <c r="X18" i="4"/>
  <c r="V13" i="4"/>
  <c r="I51" i="1"/>
  <c r="K51" i="1" s="1"/>
  <c r="M51" i="1" s="1"/>
  <c r="X19" i="4" l="1"/>
  <c r="X37" i="4" s="1"/>
  <c r="X38" i="4" s="1"/>
  <c r="Y18" i="4"/>
  <c r="Y16" i="4"/>
  <c r="W13" i="4"/>
  <c r="X13" i="4" s="1"/>
  <c r="Y13" i="4" s="1"/>
  <c r="Y19" i="4" l="1"/>
  <c r="Y37" i="4" s="1"/>
  <c r="Y38" i="4" s="1"/>
</calcChain>
</file>

<file path=xl/sharedStrings.xml><?xml version="1.0" encoding="utf-8"?>
<sst xmlns="http://schemas.openxmlformats.org/spreadsheetml/2006/main" count="293" uniqueCount="197">
  <si>
    <t>Total income from fees and allowances</t>
  </si>
  <si>
    <t>Estimated average buying profit</t>
  </si>
  <si>
    <t>Items per month</t>
  </si>
  <si>
    <t>payment per year</t>
  </si>
  <si>
    <t>payment per month</t>
  </si>
  <si>
    <t>lower</t>
  </si>
  <si>
    <t>upper</t>
  </si>
  <si>
    <t>+</t>
  </si>
  <si>
    <t>per item</t>
  </si>
  <si>
    <t>Item Fee</t>
  </si>
  <si>
    <t>Repeat Dispensing Fee</t>
  </si>
  <si>
    <t>EPS</t>
  </si>
  <si>
    <t>PP table (Nov-16)</t>
  </si>
  <si>
    <t>EP table (Nov-16)</t>
  </si>
  <si>
    <t>Special Fees &amp; Allowances per item</t>
  </si>
  <si>
    <t>Estimated buying profit per item</t>
  </si>
  <si>
    <t>EP table (Dec-16 to Mar-17)</t>
  </si>
  <si>
    <t>EP table (Apr-17 to Mar-18)</t>
  </si>
  <si>
    <t>Single Activity Fee</t>
  </si>
  <si>
    <t>Dec-16 to Mar-17</t>
  </si>
  <si>
    <t>Apr-17 to Mar-18</t>
  </si>
  <si>
    <t>Items per month:</t>
  </si>
  <si>
    <t>Special fees and allowances have been distributed in proportion to monthly items for illustrative purposes only. In practice, individual pharmacy income will vary according to the mix of products dispensed.</t>
  </si>
  <si>
    <t>November 2016</t>
  </si>
  <si>
    <t>December 2016</t>
  </si>
  <si>
    <t>April 2017</t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</si>
  <si>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 as at </t>
    </r>
    <r>
      <rPr>
        <b/>
        <sz val="9"/>
        <color theme="1"/>
        <rFont val="Calibri"/>
        <family val="2"/>
        <scheme val="minor"/>
      </rPr>
      <t>November 2016</t>
    </r>
  </si>
  <si>
    <r>
      <rPr>
        <sz val="9"/>
        <color theme="1"/>
        <rFont val="Calibri"/>
        <family val="2"/>
        <scheme val="minor"/>
      </rPr>
      <t>Indicative</t>
    </r>
    <r>
      <rPr>
        <b/>
        <sz val="9"/>
        <color theme="1"/>
        <rFont val="Calibri"/>
        <family val="2"/>
        <scheme val="minor"/>
      </rPr>
      <t xml:space="preserve"> 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 as at </t>
    </r>
    <r>
      <rPr>
        <b/>
        <sz val="9"/>
        <color theme="1"/>
        <rFont val="Calibri"/>
        <family val="2"/>
        <scheme val="minor"/>
      </rPr>
      <t xml:space="preserve">December 2016 </t>
    </r>
    <r>
      <rPr>
        <sz val="9"/>
        <color theme="1"/>
        <rFont val="Calibri"/>
        <family val="2"/>
        <scheme val="minor"/>
      </rPr>
      <t>(may decrease if a further reduction is made to Cat M)</t>
    </r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</si>
  <si>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 as at </t>
    </r>
    <r>
      <rPr>
        <b/>
        <sz val="9"/>
        <color theme="1"/>
        <rFont val="Calibri"/>
        <family val="2"/>
        <scheme val="minor"/>
      </rPr>
      <t>April 2017</t>
    </r>
  </si>
  <si>
    <t>Total income from fees and allowances pcm</t>
  </si>
  <si>
    <t>Estimated average     buying profit</t>
  </si>
  <si>
    <t>Indicative total income pcm</t>
  </si>
  <si>
    <t>£ per item</t>
  </si>
  <si>
    <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from fees and allowances for Essential Services by item band as at </t>
    </r>
    <r>
      <rPr>
        <b/>
        <sz val="9"/>
        <color theme="1"/>
        <rFont val="Calibri"/>
        <family val="2"/>
        <scheme val="minor"/>
      </rPr>
      <t>April 2017</t>
    </r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</si>
  <si>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 xml:space="preserve">monthly </t>
    </r>
    <r>
      <rPr>
        <sz val="9"/>
        <color theme="1"/>
        <rFont val="Calibri"/>
        <family val="2"/>
        <scheme val="minor"/>
      </rPr>
      <t xml:space="preserve">income from fees and allowances for Essential Services by item band as at </t>
    </r>
    <r>
      <rPr>
        <b/>
        <sz val="9"/>
        <color theme="1"/>
        <rFont val="Calibri"/>
        <family val="2"/>
        <scheme val="minor"/>
      </rPr>
      <t>November 2016</t>
    </r>
  </si>
  <si>
    <r>
      <rPr>
        <sz val="9"/>
        <color theme="1"/>
        <rFont val="Calibri"/>
        <family val="2"/>
        <scheme val="minor"/>
      </rPr>
      <t>Indicative</t>
    </r>
    <r>
      <rPr>
        <b/>
        <sz val="9"/>
        <color theme="1"/>
        <rFont val="Calibri"/>
        <family val="2"/>
        <scheme val="minor"/>
      </rPr>
      <t xml:space="preserve"> monthly</t>
    </r>
    <r>
      <rPr>
        <sz val="9"/>
        <color theme="1"/>
        <rFont val="Calibri"/>
        <family val="2"/>
        <scheme val="minor"/>
      </rPr>
      <t xml:space="preserve"> income from fees and allowances for Essential Services by item band as at</t>
    </r>
    <r>
      <rPr>
        <b/>
        <sz val="9"/>
        <color theme="1"/>
        <rFont val="Calibri"/>
        <family val="2"/>
        <scheme val="minor"/>
      </rPr>
      <t xml:space="preserve"> December 2016</t>
    </r>
  </si>
  <si>
    <t>Item fee</t>
  </si>
  <si>
    <t>Establishment Payment</t>
  </si>
  <si>
    <t>Practice Payment</t>
  </si>
  <si>
    <t>Special fees and allowances</t>
  </si>
  <si>
    <t>Repeat dispensing set up fee</t>
  </si>
  <si>
    <t>SAF</t>
  </si>
  <si>
    <t>PhAS Pharmacy?</t>
  </si>
  <si>
    <t>(select from drop-down)</t>
  </si>
  <si>
    <t>Change in income per month</t>
  </si>
  <si>
    <t>payment per    year</t>
  </si>
  <si>
    <t>payment per   year</t>
  </si>
  <si>
    <t>% Change in income from Nov-16</t>
  </si>
  <si>
    <t>(type in box)</t>
  </si>
  <si>
    <t>not applicable</t>
  </si>
  <si>
    <t>Estimated PhAS payment pcm</t>
  </si>
  <si>
    <t>NHS Choices entry up to date</t>
  </si>
  <si>
    <t>Ability for staff to send and receive NHS mail</t>
  </si>
  <si>
    <t>Ongoing utilisation of the Electronic Prescription Service</t>
  </si>
  <si>
    <t>Patient Safety</t>
  </si>
  <si>
    <t>Patient Experience</t>
  </si>
  <si>
    <t>Public Health</t>
  </si>
  <si>
    <t>Digital</t>
  </si>
  <si>
    <t>Clinical Effectiveness</t>
  </si>
  <si>
    <t>Workforce</t>
  </si>
  <si>
    <t>Production of a written report that demonstrates evidence of analysis, learning and action taken in response to near misses and patient safety alerts and having shared learning</t>
  </si>
  <si>
    <t xml:space="preserve">80% of registered pharmacy professionals have achieved level 2 safeguarding status for children and vulnerable adults within the last two years </t>
  </si>
  <si>
    <t xml:space="preserve">Results of patient experience survey from the last 12 months published on the pharmacy’s NHS Choices page </t>
  </si>
  <si>
    <t xml:space="preserve">Healthy Living Pharmacy level 1 (selfassessment)  </t>
  </si>
  <si>
    <t xml:space="preserve">Demonstration of having accessed the summary care record and increase in access since the last review point </t>
  </si>
  <si>
    <t xml:space="preserve">NHS111 Directory of Services entry up to date at review point </t>
  </si>
  <si>
    <t xml:space="preserve">Asthma patients dispensed more than 6 short acting bronchodilator inhalers without any corticosteroid inhaler within a 6 month period are referred to an appropriate health care professional for an asthma review.  </t>
  </si>
  <si>
    <t xml:space="preserve">80% of all pharmacy staff working in patient facing roles are trained ‘Dementia Friends’ </t>
  </si>
  <si>
    <t>Expected value of each point:</t>
  </si>
  <si>
    <t>Total number of points:</t>
  </si>
  <si>
    <t>2017/18 Quality Payment total:</t>
  </si>
  <si>
    <t>Complete as required:</t>
  </si>
  <si>
    <t>Indicative Income:</t>
  </si>
  <si>
    <t>Payment Assumptions</t>
  </si>
  <si>
    <t>Community Pharmacy Contractual Framework: PSNC's Indicative Income Calculator &amp; Reference Tables</t>
  </si>
  <si>
    <t>This guide and calculator do not cover locally agreed contracts (Local Pharmaceutical Services contracts).</t>
  </si>
  <si>
    <t>Provision of at least one specified Advanced service</t>
  </si>
  <si>
    <t>If all four Gateway Criteria are met, continue below:</t>
  </si>
  <si>
    <t xml:space="preserve">   Quality Payment:</t>
  </si>
  <si>
    <r>
      <t xml:space="preserve">Do you meet the four Gateway Criteria? </t>
    </r>
    <r>
      <rPr>
        <sz val="12"/>
        <color theme="1"/>
        <rFont val="Calibri"/>
        <family val="2"/>
        <scheme val="minor"/>
      </rPr>
      <t>(tick all that apply)</t>
    </r>
  </si>
  <si>
    <r>
      <t xml:space="preserve">Quality Payment: How many of the Quality Criteria do you expect to meet? </t>
    </r>
    <r>
      <rPr>
        <sz val="11"/>
        <color theme="1"/>
        <rFont val="Calibri"/>
        <family val="2"/>
        <scheme val="minor"/>
      </rPr>
      <t>(tick all that apply)</t>
    </r>
  </si>
  <si>
    <t>Difference</t>
  </si>
  <si>
    <r>
      <rPr>
        <b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Indicative income applies to any month from Dec-16 to Mar-17 inclusive</t>
    </r>
  </si>
  <si>
    <t>Indicative Income   pcm</t>
  </si>
  <si>
    <t>This calculator will be updated to improve accuracy when more information is made available.</t>
  </si>
  <si>
    <t>Further information on PhAS and a list of eligible pharmacies is available at psnc.org.uk/phas</t>
  </si>
  <si>
    <t>NB:</t>
  </si>
  <si>
    <t>The figures for PhAS payments provided by the Department of Health in the imposition are roughly £2,900 per month in 2016/17 and £1,500 per month in 2017/18.</t>
  </si>
  <si>
    <t>IMPORTANT:</t>
  </si>
  <si>
    <t>These figures are illustrative only.</t>
  </si>
  <si>
    <t>Income relating to Advanced and Enhanced Services is not included.</t>
  </si>
  <si>
    <t>Less 1% efficiency savings</t>
  </si>
  <si>
    <t>Less 3% efficiency savings</t>
  </si>
  <si>
    <t>Total 2016/17 Income (fees &amp; margin)</t>
  </si>
  <si>
    <t>Total 2017/18 Income (fees &amp; margin)</t>
  </si>
  <si>
    <t>2017/18 PhAS payment per month</t>
  </si>
  <si>
    <t>Dec-16 to Mar-17 PhAS payment per month</t>
  </si>
  <si>
    <t>Community Pharmacy Contractual Framework: PSNC's cashflow calculator</t>
  </si>
  <si>
    <t>Pharmacy average monthly item volume:</t>
  </si>
  <si>
    <t>per month</t>
  </si>
  <si>
    <t>2016/17 H1</t>
  </si>
  <si>
    <t>2016/17 H2</t>
  </si>
  <si>
    <t>2017/18 H1</t>
  </si>
  <si>
    <t>Margins</t>
  </si>
  <si>
    <t>Pharmacy opens 1st Jan</t>
  </si>
  <si>
    <t>The update on margin delivery suggests that contractors will have been overpaid by c£120m for 2015/16. NHS will seek to recover this in 2016/17. This paper assumes that:</t>
  </si>
  <si>
    <t>Dispensing / SOP Month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</si>
  <si>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£12m a month will be recovered from June 2016 to March 2017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</si>
  <si>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The underlying run rate is correct and delivery will revert to £200m per quarter from April 2017 </t>
    </r>
  </si>
  <si>
    <t>AIV</t>
  </si>
  <si>
    <t>Fees</t>
  </si>
  <si>
    <t>Items Dispensed</t>
  </si>
  <si>
    <t xml:space="preserve">This model assumes that: </t>
  </si>
  <si>
    <t>Items Submitted for Payment</t>
  </si>
  <si>
    <t>Advance Payment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</si>
  <si>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DH imposes a cut in total funding of £113m in H2 2016/17</t>
    </r>
  </si>
  <si>
    <t>Advance Recovered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</si>
  <si>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DH imposes a further cut in total funding of £95m in 2017/18</t>
    </r>
  </si>
  <si>
    <t>Total  value of account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</si>
  <si>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DH imposes its proposal of phasing out the Establishment Payment, reducing the pay rate by 20% from Dec-16, and by 40% from April-17</t>
    </r>
  </si>
  <si>
    <t>Total payment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</si>
  <si>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SAF is introduced in Dec-16</t>
    </r>
  </si>
  <si>
    <r>
      <t xml:space="preserve">·     </t>
    </r>
    <r>
      <rPr>
        <sz val="11"/>
        <rFont val="Calibri"/>
        <family val="2"/>
        <scheme val="minor"/>
      </rPr>
      <t>Quality Payment and PhAS are not included in this model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</si>
  <si>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Item growth at 2%</t>
    </r>
  </si>
  <si>
    <t>Special fees &amp; allowances</t>
  </si>
  <si>
    <t>EP</t>
  </si>
  <si>
    <t>PP table (Nov-15 to Mar-16)</t>
  </si>
  <si>
    <t>Prescription fee, Repeat Disp. &amp; EPS</t>
  </si>
  <si>
    <t>PP</t>
  </si>
  <si>
    <t>QP</t>
  </si>
  <si>
    <t>Margin</t>
  </si>
  <si>
    <t>Payment excluding reimbursement</t>
  </si>
  <si>
    <t>AIV change</t>
  </si>
  <si>
    <t>PP table (Apr-16 to Jul-16)</t>
  </si>
  <si>
    <t>Cash change</t>
  </si>
  <si>
    <t>Percentage change</t>
  </si>
  <si>
    <t>PP table (Aug-16 to Sept-16)</t>
  </si>
  <si>
    <t>PP table (Oct-16 to Nov-17)</t>
  </si>
  <si>
    <t>Pharmacy Cost Assumptions</t>
  </si>
  <si>
    <t>Base cost (per year):</t>
  </si>
  <si>
    <t>Per item cost:</t>
  </si>
  <si>
    <t>Fees &amp; Margin</t>
  </si>
  <si>
    <t>Total 16/17 Margin:</t>
  </si>
  <si>
    <t>16/17 forecast Total Items:</t>
  </si>
  <si>
    <t>Margin per item:</t>
  </si>
  <si>
    <t>Prescription Fee:</t>
  </si>
  <si>
    <t>16/17 forecast 2A-2F fees:</t>
  </si>
  <si>
    <t>Special fees / allowances per item:</t>
  </si>
  <si>
    <t>Cat M reduction</t>
  </si>
  <si>
    <t>Reduction of</t>
  </si>
  <si>
    <t>to Mar-17</t>
  </si>
  <si>
    <t>per item:</t>
  </si>
  <si>
    <t xml:space="preserve">Made in </t>
  </si>
  <si>
    <t>Margin 17/18</t>
  </si>
  <si>
    <t>Total 17/18 Margin:</t>
  </si>
  <si>
    <t>17/18 forecast total items (2% growth):</t>
  </si>
  <si>
    <t>EP table (Current - up to Nov-16)</t>
  </si>
  <si>
    <t>EP table (16/17 H2 -  20% cut from Dec-16)</t>
  </si>
  <si>
    <t>Dec-16 to Mar-17 SAF</t>
  </si>
  <si>
    <t>EP table (17/18 - 40% cut)</t>
  </si>
  <si>
    <t>2017/18 SAF</t>
  </si>
  <si>
    <t>24th November 2017</t>
  </si>
  <si>
    <t>Review Point 1</t>
  </si>
  <si>
    <t>Review Point 2</t>
  </si>
  <si>
    <t>28th April 2017</t>
  </si>
  <si>
    <t>value at 1st review point</t>
  </si>
  <si>
    <t>value at 2nd review point</t>
  </si>
  <si>
    <t>Pharmacy receives this amount at end June/beginning July 2017</t>
  </si>
  <si>
    <r>
      <rPr>
        <b/>
        <sz val="12"/>
        <color theme="1"/>
        <rFont val="Calibri"/>
        <family val="2"/>
        <scheme val="minor"/>
      </rPr>
      <t xml:space="preserve">Quality Payment awarded:                      </t>
    </r>
    <r>
      <rPr>
        <b/>
        <sz val="10"/>
        <color theme="1"/>
        <rFont val="Calibri"/>
        <family val="2"/>
        <scheme val="minor"/>
      </rPr>
      <t>(at £64 per point)</t>
    </r>
  </si>
  <si>
    <t>Number of points awarded at each review point:</t>
  </si>
  <si>
    <t>Total points awarded per criteria in 2017/18</t>
  </si>
  <si>
    <t>2017/18 Overview</t>
  </si>
  <si>
    <t>Pharmacy receives this amount at end Jan/beginning Feb 2018</t>
  </si>
  <si>
    <t>Apr-17 to Jun-17^</t>
  </si>
  <si>
    <t>Jul-17</t>
  </si>
  <si>
    <t>Estimated Quality payment</t>
  </si>
  <si>
    <r>
      <rPr>
        <b/>
        <sz val="10"/>
        <color theme="1"/>
        <rFont val="Calibri"/>
        <family val="2"/>
        <scheme val="minor"/>
      </rPr>
      <t>^</t>
    </r>
    <r>
      <rPr>
        <sz val="10"/>
        <color theme="1"/>
        <rFont val="Calibri"/>
        <family val="2"/>
        <scheme val="minor"/>
      </rPr>
      <t>Indicative income applies to any month from Apr-17 to Jun-17 inclusive</t>
    </r>
  </si>
  <si>
    <t>Feb-18</t>
  </si>
  <si>
    <t>Mar-18</t>
  </si>
  <si>
    <r>
      <t>Dec-16 to Mar-17</t>
    </r>
    <r>
      <rPr>
        <b/>
        <sz val="12"/>
        <color theme="1"/>
        <rFont val="Calibri"/>
        <family val="2"/>
        <scheme val="minor"/>
      </rPr>
      <t>*</t>
    </r>
  </si>
  <si>
    <t>Aug-17 to Jan-18~</t>
  </si>
  <si>
    <t>~Indicative income applies to any month from Aug-17 to Jan-18 inclusive</t>
  </si>
  <si>
    <t>This section contains a cashflow indicator, intended to demonstrate how cashflow could be affected for an average pharmacy in £ (sterling) for Essential Services provided under the Community Pharmacy Contractual Framework. These figures are based on the imposition for 2016/17 and 2017/18 that are outlined in relation to dispensing volume. The figures shown here are illustrative only.</t>
  </si>
  <si>
    <t>Neither</t>
  </si>
  <si>
    <t>Please input Pharmacy AIVs from Dec-15 to Sept-16 Schedule of Payments into the bordered cells below</t>
  </si>
  <si>
    <t>To give the most accurate result for your pharmacy, please replace the national AIV figures in cells D13 to M13 with your own pharmacy's AIV figures, found on Page 2 of each monthly Schedule of Payments.</t>
  </si>
  <si>
    <t>2015/16 Establishment Payment</t>
  </si>
  <si>
    <t>2015/16 Income - margin &amp; fees (excluding EP and special fees and allowances)</t>
  </si>
  <si>
    <t>Avg 2015/16 monthly items:</t>
  </si>
  <si>
    <t>Total  2015/16 2a-2f fees:</t>
  </si>
  <si>
    <t>Total 2015/16 NMS/MUR income:</t>
  </si>
  <si>
    <t>Total 2015/16 Establishment Payment:</t>
  </si>
  <si>
    <t>No</t>
  </si>
  <si>
    <t>These PhAS payments, as with other payments produced, are intended only as a rough guide.  The actual PhAS payment received by a PhAS pharmacy may be larger or smaller than indicated here.</t>
  </si>
  <si>
    <t>The Pharmacy Access Scheme (PhAS) payment calculated is based on DH's stated method of calculation. This is intended only as an estimate.</t>
  </si>
  <si>
    <t>Estimated average buying profit is derived from the total agreed margin divided by the forecasted items, and is intended only as a guide.  Margins have been estimated at £800m per year across the full range of items dispensed.</t>
  </si>
  <si>
    <t>Last updated 29/03/17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</si>
</sst>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&quot;£&quot;#,##0"/>
    <numFmt numFmtId="165" formatCode="&quot;£&quot;#,##0.00"/>
    <numFmt numFmtId="166" formatCode="_-* #,##0_-;\-* #,##0_-;_-* &quot;-&quot;??_-;_-@_-"/>
    <numFmt numFmtId="167" formatCode="&quot;£&quot;#,##0.000"/>
    <numFmt numFmtId="168" formatCode="&quot;£&quot;#,##0.0000"/>
    <numFmt numFmtId="169" formatCode="_-* #,##0.0000_-;\-* #,##0.0000_-;_-* &quot;-&quot;??_-;_-@_-"/>
    <numFmt numFmtId="170" formatCode="_-* #,##0.00000_-;\-* #,##0.00000_-;_-* &quot;-&quot;??_-;_-@_-"/>
    <numFmt numFmtId="171" formatCode="0.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4"/>
      <name val="Calibri"/>
      <family val="2"/>
      <scheme val="minor"/>
    </font>
    <font>
      <sz val="9"/>
      <color theme="7"/>
      <name val="Calibri"/>
      <family val="2"/>
      <scheme val="minor"/>
    </font>
    <font>
      <sz val="12"/>
      <color rgb="FFFF1D1D"/>
      <name val="Calibri"/>
      <family val="2"/>
      <scheme val="minor"/>
    </font>
    <font>
      <sz val="11"/>
      <color rgb="FFFF1D1D"/>
      <name val="Calibri"/>
      <family val="2"/>
      <scheme val="minor"/>
    </font>
    <font>
      <b/>
      <sz val="14"/>
      <color rgb="FFFF1D1D"/>
      <name val="Calibri"/>
      <family val="2"/>
      <scheme val="minor"/>
    </font>
    <font>
      <b/>
      <sz val="10.5"/>
      <color rgb="FFFF1D1D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color rgb="FF2E74B5"/>
      <name val="Calibri Light"/>
      <family val="2"/>
    </font>
    <font>
      <sz val="9"/>
      <color theme="0" tint="-0.34998626667073579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sz val="11"/>
      <name val="Symbol"/>
      <family val="1"/>
      <charset val="2"/>
    </font>
    <font>
      <sz val="11"/>
      <color rgb="FFC00000"/>
      <name val="Calibri"/>
      <family val="2"/>
      <scheme val="minor"/>
    </font>
    <font>
      <sz val="11"/>
      <color rgb="FFFF7C80"/>
      <name val="Calibri"/>
      <family val="2"/>
      <scheme val="minor"/>
    </font>
    <font>
      <sz val="7"/>
      <color theme="1"/>
      <name val="Times New Roman"/>
      <family val="1"/>
    </font>
    <font>
      <sz val="7"/>
      <name val="Times New Roman"/>
      <family val="1"/>
    </font>
    <font>
      <sz val="10"/>
      <color theme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Dashed">
        <color theme="0"/>
      </right>
      <top/>
      <bottom/>
      <diagonal/>
    </border>
    <border>
      <left/>
      <right style="mediumDashed">
        <color theme="0"/>
      </right>
      <top style="medium">
        <color theme="0"/>
      </top>
      <bottom/>
      <diagonal/>
    </border>
    <border>
      <left style="mediumDashed">
        <color theme="0"/>
      </left>
      <right/>
      <top style="medium">
        <color theme="0"/>
      </top>
      <bottom/>
      <diagonal/>
    </border>
    <border>
      <left style="mediumDashed">
        <color theme="0"/>
      </left>
      <right/>
      <top/>
      <bottom/>
      <diagonal/>
    </border>
    <border>
      <left style="mediumDashed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0" tint="-0.24994659260841701"/>
      </bottom>
      <diagonal/>
    </border>
    <border>
      <left style="mediumDashed">
        <color rgb="FFFF7C80"/>
      </left>
      <right/>
      <top style="mediumDashed">
        <color rgb="FFFF7C80"/>
      </top>
      <bottom/>
      <diagonal/>
    </border>
    <border>
      <left/>
      <right/>
      <top style="mediumDashed">
        <color rgb="FFFF7C80"/>
      </top>
      <bottom/>
      <diagonal/>
    </border>
    <border>
      <left/>
      <right style="mediumDashed">
        <color rgb="FFFF7C80"/>
      </right>
      <top style="mediumDashed">
        <color rgb="FFFF7C80"/>
      </top>
      <bottom/>
      <diagonal/>
    </border>
    <border>
      <left style="mediumDashed">
        <color rgb="FFFF7C80"/>
      </left>
      <right/>
      <top/>
      <bottom/>
      <diagonal/>
    </border>
    <border>
      <left/>
      <right style="mediumDashed">
        <color rgb="FFFF7C80"/>
      </right>
      <top/>
      <bottom/>
      <diagonal/>
    </border>
    <border>
      <left style="mediumDashed">
        <color rgb="FFFF7C80"/>
      </left>
      <right/>
      <top/>
      <bottom style="mediumDashed">
        <color rgb="FFFF7C80"/>
      </bottom>
      <diagonal/>
    </border>
    <border>
      <left/>
      <right/>
      <top/>
      <bottom style="mediumDashed">
        <color rgb="FFFF7C80"/>
      </bottom>
      <diagonal/>
    </border>
    <border>
      <left/>
      <right style="mediumDashed">
        <color rgb="FFFF7C80"/>
      </right>
      <top/>
      <bottom style="mediumDashed">
        <color rgb="FFFF7C80"/>
      </bottom>
      <diagonal/>
    </border>
    <border>
      <left/>
      <right/>
      <top style="medium">
        <color theme="0"/>
      </top>
      <bottom style="mediumDashed">
        <color rgb="FFFF7C8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n">
        <color rgb="FFFF7C80"/>
      </bottom>
      <diagonal/>
    </border>
    <border>
      <left/>
      <right/>
      <top style="medium">
        <color theme="4" tint="0.59996337778862885"/>
      </top>
      <bottom/>
      <diagonal/>
    </border>
    <border>
      <left style="mediumDashed">
        <color theme="9" tint="0.39994506668294322"/>
      </left>
      <right/>
      <top style="mediumDashed">
        <color theme="9" tint="0.39994506668294322"/>
      </top>
      <bottom style="mediumDashed">
        <color theme="9" tint="0.39994506668294322"/>
      </bottom>
      <diagonal/>
    </border>
    <border>
      <left/>
      <right style="mediumDashed">
        <color theme="9" tint="0.39994506668294322"/>
      </right>
      <top style="mediumDashed">
        <color theme="9" tint="0.39994506668294322"/>
      </top>
      <bottom style="mediumDashed">
        <color theme="9" tint="0.39994506668294322"/>
      </bottom>
      <diagonal/>
    </border>
    <border>
      <left/>
      <right style="mediumDashed">
        <color theme="9" tint="0.39991454817346722"/>
      </right>
      <top/>
      <bottom style="mediumDashed">
        <color theme="9" tint="0.399945066682943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92">
    <xf numFmtId="0" fontId="0" fillId="0" borderId="0" xfId="0"/>
    <xf numFmtId="0" fontId="0" fillId="2" borderId="0" xfId="0" applyFill="1"/>
    <xf numFmtId="0" fontId="0" fillId="2" borderId="0" xfId="0" applyFont="1" applyFill="1" applyBorder="1"/>
    <xf numFmtId="164" fontId="0" fillId="2" borderId="0" xfId="0" applyNumberFormat="1" applyFont="1" applyFill="1" applyBorder="1"/>
    <xf numFmtId="0" fontId="0" fillId="2" borderId="0" xfId="0" applyFill="1" applyBorder="1"/>
    <xf numFmtId="0" fontId="0" fillId="3" borderId="0" xfId="0" applyFill="1"/>
    <xf numFmtId="0" fontId="0" fillId="3" borderId="0" xfId="0" applyFont="1" applyFill="1" applyBorder="1"/>
    <xf numFmtId="0" fontId="0" fillId="3" borderId="0" xfId="0" applyFill="1" applyBorder="1"/>
    <xf numFmtId="0" fontId="0" fillId="3" borderId="0" xfId="0" applyFont="1" applyFill="1" applyBorder="1" applyAlignment="1">
      <alignment horizontal="right"/>
    </xf>
    <xf numFmtId="1" fontId="0" fillId="3" borderId="0" xfId="0" applyNumberFormat="1" applyFont="1" applyFill="1" applyBorder="1"/>
    <xf numFmtId="164" fontId="0" fillId="3" borderId="0" xfId="0" applyNumberFormat="1" applyFont="1" applyFill="1" applyBorder="1"/>
    <xf numFmtId="0" fontId="0" fillId="4" borderId="0" xfId="0" applyFill="1"/>
    <xf numFmtId="0" fontId="0" fillId="4" borderId="0" xfId="0" applyFont="1" applyFill="1" applyBorder="1"/>
    <xf numFmtId="0" fontId="0" fillId="4" borderId="0" xfId="0" applyFill="1" applyBorder="1"/>
    <xf numFmtId="0" fontId="0" fillId="4" borderId="0" xfId="0" applyFont="1" applyFill="1" applyBorder="1" applyAlignment="1">
      <alignment horizontal="right"/>
    </xf>
    <xf numFmtId="1" fontId="0" fillId="4" borderId="0" xfId="0" applyNumberFormat="1" applyFont="1" applyFill="1" applyBorder="1"/>
    <xf numFmtId="164" fontId="0" fillId="4" borderId="0" xfId="0" applyNumberFormat="1" applyFont="1" applyFill="1" applyBorder="1"/>
    <xf numFmtId="0" fontId="0" fillId="5" borderId="0" xfId="0" applyFill="1"/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ont="1" applyFill="1" applyBorder="1" applyAlignment="1">
      <alignment horizontal="right"/>
    </xf>
    <xf numFmtId="1" fontId="0" fillId="5" borderId="0" xfId="0" applyNumberFormat="1" applyFont="1" applyFill="1" applyBorder="1"/>
    <xf numFmtId="164" fontId="0" fillId="5" borderId="0" xfId="0" applyNumberFormat="1" applyFont="1" applyFill="1" applyBorder="1"/>
    <xf numFmtId="0" fontId="2" fillId="5" borderId="1" xfId="0" applyFont="1" applyFill="1" applyBorder="1"/>
    <xf numFmtId="0" fontId="0" fillId="5" borderId="2" xfId="0" applyFont="1" applyFill="1" applyBorder="1"/>
    <xf numFmtId="0" fontId="0" fillId="5" borderId="3" xfId="0" applyFont="1" applyFill="1" applyBorder="1"/>
    <xf numFmtId="0" fontId="0" fillId="5" borderId="4" xfId="0" applyFont="1" applyFill="1" applyBorder="1"/>
    <xf numFmtId="0" fontId="0" fillId="5" borderId="4" xfId="0" applyFont="1" applyFill="1" applyBorder="1" applyAlignment="1">
      <alignment horizontal="right"/>
    </xf>
    <xf numFmtId="164" fontId="0" fillId="5" borderId="5" xfId="0" applyNumberFormat="1" applyFont="1" applyFill="1" applyBorder="1"/>
    <xf numFmtId="1" fontId="0" fillId="5" borderId="4" xfId="0" applyNumberFormat="1" applyFont="1" applyFill="1" applyBorder="1"/>
    <xf numFmtId="0" fontId="0" fillId="5" borderId="6" xfId="0" applyFont="1" applyFill="1" applyBorder="1"/>
    <xf numFmtId="0" fontId="0" fillId="5" borderId="7" xfId="0" applyFont="1" applyFill="1" applyBorder="1"/>
    <xf numFmtId="164" fontId="0" fillId="5" borderId="7" xfId="0" applyNumberFormat="1" applyFont="1" applyFill="1" applyBorder="1"/>
    <xf numFmtId="164" fontId="0" fillId="5" borderId="8" xfId="0" applyNumberFormat="1" applyFont="1" applyFill="1" applyBorder="1"/>
    <xf numFmtId="0" fontId="0" fillId="5" borderId="9" xfId="0" applyFill="1" applyBorder="1"/>
    <xf numFmtId="0" fontId="0" fillId="2" borderId="9" xfId="0" applyFill="1" applyBorder="1"/>
    <xf numFmtId="165" fontId="7" fillId="5" borderId="0" xfId="0" applyNumberFormat="1" applyFont="1" applyFill="1" applyBorder="1" applyAlignment="1">
      <alignment horizontal="center" vertical="center"/>
    </xf>
    <xf numFmtId="0" fontId="0" fillId="5" borderId="12" xfId="0" applyFill="1" applyBorder="1"/>
    <xf numFmtId="0" fontId="0" fillId="2" borderId="12" xfId="0" applyFill="1" applyBorder="1"/>
    <xf numFmtId="0" fontId="0" fillId="5" borderId="13" xfId="0" applyFill="1" applyBorder="1"/>
    <xf numFmtId="0" fontId="0" fillId="2" borderId="0" xfId="0" applyFill="1" applyAlignment="1">
      <alignment vertical="center"/>
    </xf>
    <xf numFmtId="0" fontId="2" fillId="4" borderId="1" xfId="0" applyFont="1" applyFill="1" applyBorder="1"/>
    <xf numFmtId="0" fontId="0" fillId="4" borderId="2" xfId="0" applyFill="1" applyBorder="1"/>
    <xf numFmtId="0" fontId="0" fillId="4" borderId="4" xfId="0" applyFont="1" applyFill="1" applyBorder="1"/>
    <xf numFmtId="0" fontId="0" fillId="4" borderId="4" xfId="0" applyFont="1" applyFill="1" applyBorder="1" applyAlignment="1">
      <alignment horizontal="right"/>
    </xf>
    <xf numFmtId="164" fontId="0" fillId="4" borderId="5" xfId="0" applyNumberFormat="1" applyFont="1" applyFill="1" applyBorder="1"/>
    <xf numFmtId="1" fontId="0" fillId="4" borderId="4" xfId="0" applyNumberFormat="1" applyFont="1" applyFill="1" applyBorder="1"/>
    <xf numFmtId="0" fontId="0" fillId="4" borderId="6" xfId="0" applyFont="1" applyFill="1" applyBorder="1"/>
    <xf numFmtId="0" fontId="0" fillId="4" borderId="7" xfId="0" applyFont="1" applyFill="1" applyBorder="1"/>
    <xf numFmtId="164" fontId="0" fillId="4" borderId="7" xfId="0" applyNumberFormat="1" applyFont="1" applyFill="1" applyBorder="1"/>
    <xf numFmtId="164" fontId="0" fillId="4" borderId="8" xfId="0" applyNumberFormat="1" applyFont="1" applyFill="1" applyBorder="1"/>
    <xf numFmtId="0" fontId="2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2" fillId="3" borderId="2" xfId="0" applyFont="1" applyFill="1" applyBorder="1" applyAlignment="1">
      <alignment horizontal="right"/>
    </xf>
    <xf numFmtId="165" fontId="0" fillId="3" borderId="3" xfId="0" applyNumberFormat="1" applyFill="1" applyBorder="1"/>
    <xf numFmtId="0" fontId="0" fillId="3" borderId="4" xfId="0" applyFont="1" applyFill="1" applyBorder="1"/>
    <xf numFmtId="0" fontId="0" fillId="3" borderId="4" xfId="0" applyFill="1" applyBorder="1"/>
    <xf numFmtId="0" fontId="2" fillId="3" borderId="0" xfId="0" applyFont="1" applyFill="1" applyBorder="1" applyAlignment="1">
      <alignment horizontal="right"/>
    </xf>
    <xf numFmtId="164" fontId="0" fillId="3" borderId="5" xfId="0" applyNumberFormat="1" applyFill="1" applyBorder="1"/>
    <xf numFmtId="0" fontId="0" fillId="3" borderId="4" xfId="0" applyFont="1" applyFill="1" applyBorder="1" applyAlignment="1">
      <alignment horizontal="right"/>
    </xf>
    <xf numFmtId="164" fontId="0" fillId="3" borderId="0" xfId="0" applyNumberFormat="1" applyFill="1" applyBorder="1"/>
    <xf numFmtId="0" fontId="0" fillId="3" borderId="6" xfId="0" applyFill="1" applyBorder="1"/>
    <xf numFmtId="0" fontId="0" fillId="3" borderId="7" xfId="0" applyFill="1" applyBorder="1"/>
    <xf numFmtId="0" fontId="2" fillId="3" borderId="7" xfId="0" applyFont="1" applyFill="1" applyBorder="1" applyAlignment="1">
      <alignment horizontal="right"/>
    </xf>
    <xf numFmtId="164" fontId="0" fillId="3" borderId="8" xfId="0" applyNumberFormat="1" applyFill="1" applyBorder="1"/>
    <xf numFmtId="164" fontId="0" fillId="3" borderId="5" xfId="0" applyNumberFormat="1" applyFont="1" applyFill="1" applyBorder="1"/>
    <xf numFmtId="0" fontId="0" fillId="3" borderId="11" xfId="0" applyFill="1" applyBorder="1"/>
    <xf numFmtId="1" fontId="0" fillId="3" borderId="4" xfId="0" applyNumberFormat="1" applyFont="1" applyFill="1" applyBorder="1"/>
    <xf numFmtId="0" fontId="0" fillId="3" borderId="12" xfId="0" applyFill="1" applyBorder="1"/>
    <xf numFmtId="0" fontId="0" fillId="3" borderId="6" xfId="0" applyFont="1" applyFill="1" applyBorder="1"/>
    <xf numFmtId="0" fontId="0" fillId="3" borderId="7" xfId="0" applyFont="1" applyFill="1" applyBorder="1"/>
    <xf numFmtId="164" fontId="0" fillId="3" borderId="7" xfId="0" applyNumberFormat="1" applyFont="1" applyFill="1" applyBorder="1"/>
    <xf numFmtId="164" fontId="0" fillId="3" borderId="8" xfId="0" applyNumberFormat="1" applyFont="1" applyFill="1" applyBorder="1"/>
    <xf numFmtId="0" fontId="0" fillId="3" borderId="8" xfId="0" applyFill="1" applyBorder="1"/>
    <xf numFmtId="0" fontId="0" fillId="3" borderId="10" xfId="0" applyFill="1" applyBorder="1"/>
    <xf numFmtId="0" fontId="0" fillId="4" borderId="3" xfId="0" applyFill="1" applyBorder="1"/>
    <xf numFmtId="0" fontId="3" fillId="4" borderId="5" xfId="0" applyFont="1" applyFill="1" applyBorder="1" applyAlignment="1">
      <alignment vertical="center"/>
    </xf>
    <xf numFmtId="0" fontId="2" fillId="3" borderId="14" xfId="0" applyFont="1" applyFill="1" applyBorder="1"/>
    <xf numFmtId="17" fontId="6" fillId="3" borderId="14" xfId="0" applyNumberFormat="1" applyFont="1" applyFill="1" applyBorder="1" applyAlignment="1">
      <alignment vertical="center"/>
    </xf>
    <xf numFmtId="164" fontId="6" fillId="3" borderId="14" xfId="0" applyNumberFormat="1" applyFont="1" applyFill="1" applyBorder="1" applyAlignment="1">
      <alignment horizontal="right" vertical="center" wrapText="1"/>
    </xf>
    <xf numFmtId="164" fontId="6" fillId="3" borderId="14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164" fontId="6" fillId="5" borderId="14" xfId="0" applyNumberFormat="1" applyFont="1" applyFill="1" applyBorder="1" applyAlignment="1">
      <alignment horizontal="right" vertical="center" wrapText="1"/>
    </xf>
    <xf numFmtId="164" fontId="6" fillId="5" borderId="14" xfId="0" applyNumberFormat="1" applyFont="1" applyFill="1" applyBorder="1" applyAlignment="1">
      <alignment vertical="center"/>
    </xf>
    <xf numFmtId="9" fontId="6" fillId="5" borderId="14" xfId="2" applyFont="1" applyFill="1" applyBorder="1" applyAlignment="1">
      <alignment vertical="center"/>
    </xf>
    <xf numFmtId="164" fontId="6" fillId="4" borderId="14" xfId="0" applyNumberFormat="1" applyFont="1" applyFill="1" applyBorder="1" applyAlignment="1">
      <alignment horizontal="right" vertical="center" wrapText="1"/>
    </xf>
    <xf numFmtId="164" fontId="6" fillId="4" borderId="14" xfId="0" applyNumberFormat="1" applyFont="1" applyFill="1" applyBorder="1" applyAlignment="1">
      <alignment vertical="center"/>
    </xf>
    <xf numFmtId="9" fontId="6" fillId="4" borderId="14" xfId="2" applyFont="1" applyFill="1" applyBorder="1" applyAlignment="1">
      <alignment vertical="center"/>
    </xf>
    <xf numFmtId="0" fontId="5" fillId="5" borderId="0" xfId="0" applyFont="1" applyFill="1" applyAlignment="1">
      <alignment horizontal="left" vertical="center" indent="5"/>
    </xf>
    <xf numFmtId="0" fontId="0" fillId="2" borderId="0" xfId="0" applyFill="1"/>
    <xf numFmtId="0" fontId="11" fillId="4" borderId="0" xfId="0" applyFont="1" applyFill="1" applyAlignment="1">
      <alignment horizontal="right" wrapText="1"/>
    </xf>
    <xf numFmtId="0" fontId="11" fillId="2" borderId="15" xfId="0" applyFont="1" applyFill="1" applyBorder="1" applyAlignment="1">
      <alignment horizontal="right" wrapText="1"/>
    </xf>
    <xf numFmtId="164" fontId="11" fillId="3" borderId="0" xfId="0" applyNumberFormat="1" applyFont="1" applyFill="1"/>
    <xf numFmtId="164" fontId="11" fillId="2" borderId="16" xfId="0" applyNumberFormat="1" applyFont="1" applyFill="1" applyBorder="1"/>
    <xf numFmtId="165" fontId="11" fillId="2" borderId="16" xfId="0" applyNumberFormat="1" applyFont="1" applyFill="1" applyBorder="1"/>
    <xf numFmtId="164" fontId="11" fillId="2" borderId="17" xfId="0" applyNumberFormat="1" applyFont="1" applyFill="1" applyBorder="1"/>
    <xf numFmtId="165" fontId="11" fillId="2" borderId="17" xfId="0" applyNumberFormat="1" applyFont="1" applyFill="1" applyBorder="1"/>
    <xf numFmtId="0" fontId="9" fillId="2" borderId="0" xfId="0" applyFont="1" applyFill="1" applyBorder="1"/>
    <xf numFmtId="0" fontId="8" fillId="2" borderId="0" xfId="0" applyFont="1" applyFill="1" applyBorder="1"/>
    <xf numFmtId="165" fontId="11" fillId="2" borderId="16" xfId="2" applyNumberFormat="1" applyFont="1" applyFill="1" applyBorder="1"/>
    <xf numFmtId="165" fontId="11" fillId="2" borderId="17" xfId="2" applyNumberFormat="1" applyFont="1" applyFill="1" applyBorder="1"/>
    <xf numFmtId="0" fontId="11" fillId="2" borderId="0" xfId="0" applyFont="1" applyFill="1" applyBorder="1" applyAlignment="1">
      <alignment horizontal="right" wrapText="1"/>
    </xf>
    <xf numFmtId="165" fontId="11" fillId="2" borderId="0" xfId="0" applyNumberFormat="1" applyFont="1" applyFill="1" applyBorder="1"/>
    <xf numFmtId="49" fontId="4" fillId="2" borderId="0" xfId="0" applyNumberFormat="1" applyFont="1" applyFill="1"/>
    <xf numFmtId="49" fontId="13" fillId="2" borderId="0" xfId="0" applyNumberFormat="1" applyFont="1" applyFill="1"/>
    <xf numFmtId="166" fontId="11" fillId="3" borderId="0" xfId="1" applyNumberFormat="1" applyFont="1" applyFill="1" applyAlignment="1">
      <alignment horizontal="right"/>
    </xf>
    <xf numFmtId="0" fontId="8" fillId="2" borderId="0" xfId="0" applyFont="1" applyFill="1" applyAlignment="1">
      <alignment horizontal="center" vertical="top"/>
    </xf>
    <xf numFmtId="49" fontId="6" fillId="5" borderId="14" xfId="0" applyNumberFormat="1" applyFont="1" applyFill="1" applyBorder="1" applyAlignment="1">
      <alignment horizontal="right" vertical="center"/>
    </xf>
    <xf numFmtId="49" fontId="6" fillId="4" borderId="14" xfId="0" applyNumberFormat="1" applyFont="1" applyFill="1" applyBorder="1" applyAlignment="1">
      <alignment horizontal="right" vertical="center"/>
    </xf>
    <xf numFmtId="0" fontId="0" fillId="5" borderId="0" xfId="0" applyFill="1" applyAlignment="1">
      <alignment wrapText="1"/>
    </xf>
    <xf numFmtId="0" fontId="5" fillId="2" borderId="0" xfId="0" applyFont="1" applyFill="1" applyAlignment="1">
      <alignment horizontal="left" vertical="center" indent="5"/>
    </xf>
    <xf numFmtId="0" fontId="0" fillId="3" borderId="0" xfId="0" applyFont="1" applyFill="1" applyBorder="1" applyAlignment="1">
      <alignment horizontal="right" wrapText="1"/>
    </xf>
    <xf numFmtId="0" fontId="0" fillId="5" borderId="0" xfId="0" applyFont="1" applyFill="1" applyBorder="1" applyAlignment="1">
      <alignment horizontal="right" wrapText="1"/>
    </xf>
    <xf numFmtId="0" fontId="0" fillId="4" borderId="0" xfId="0" applyFont="1" applyFill="1" applyBorder="1" applyAlignment="1">
      <alignment horizontal="right" wrapText="1"/>
    </xf>
    <xf numFmtId="0" fontId="12" fillId="3" borderId="14" xfId="0" applyFont="1" applyFill="1" applyBorder="1" applyAlignment="1">
      <alignment horizontal="right" wrapText="1"/>
    </xf>
    <xf numFmtId="0" fontId="11" fillId="2" borderId="0" xfId="0" applyFont="1" applyFill="1" applyAlignment="1">
      <alignment horizontal="center" vertical="top"/>
    </xf>
    <xf numFmtId="0" fontId="12" fillId="9" borderId="14" xfId="0" applyFont="1" applyFill="1" applyBorder="1" applyAlignment="1">
      <alignment horizontal="right" wrapText="1"/>
    </xf>
    <xf numFmtId="164" fontId="6" fillId="10" borderId="14" xfId="0" applyNumberFormat="1" applyFont="1" applyFill="1" applyBorder="1" applyAlignment="1">
      <alignment vertical="center"/>
    </xf>
    <xf numFmtId="164" fontId="8" fillId="9" borderId="14" xfId="0" applyNumberFormat="1" applyFont="1" applyFill="1" applyBorder="1" applyAlignment="1">
      <alignment horizontal="right" vertical="center" wrapText="1"/>
    </xf>
    <xf numFmtId="0" fontId="12" fillId="12" borderId="14" xfId="0" applyFont="1" applyFill="1" applyBorder="1" applyAlignment="1">
      <alignment horizontal="right" wrapText="1"/>
    </xf>
    <xf numFmtId="164" fontId="8" fillId="12" borderId="14" xfId="0" applyNumberFormat="1" applyFont="1" applyFill="1" applyBorder="1" applyAlignment="1">
      <alignment horizontal="right" vertical="center" wrapText="1"/>
    </xf>
    <xf numFmtId="164" fontId="6" fillId="13" borderId="14" xfId="0" applyNumberFormat="1" applyFont="1" applyFill="1" applyBorder="1" applyAlignment="1">
      <alignment vertical="center"/>
    </xf>
    <xf numFmtId="164" fontId="8" fillId="11" borderId="14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0" fillId="11" borderId="7" xfId="0" applyFont="1" applyFill="1" applyBorder="1" applyAlignment="1">
      <alignment horizontal="right" vertical="center"/>
    </xf>
    <xf numFmtId="0" fontId="0" fillId="11" borderId="14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19" fillId="5" borderId="0" xfId="4" applyFill="1" applyAlignment="1">
      <alignment vertical="center"/>
    </xf>
    <xf numFmtId="0" fontId="0" fillId="2" borderId="0" xfId="0" applyFill="1" applyAlignment="1">
      <alignment horizontal="left" wrapText="1"/>
    </xf>
    <xf numFmtId="0" fontId="0" fillId="5" borderId="0" xfId="0" applyFill="1" applyAlignment="1">
      <alignment vertical="center"/>
    </xf>
    <xf numFmtId="0" fontId="17" fillId="2" borderId="0" xfId="0" applyFont="1" applyFill="1" applyAlignment="1">
      <alignment horizontal="right" vertical="top"/>
    </xf>
    <xf numFmtId="0" fontId="0" fillId="13" borderId="7" xfId="0" applyFill="1" applyBorder="1" applyAlignment="1">
      <alignment vertical="center"/>
    </xf>
    <xf numFmtId="0" fontId="0" fillId="13" borderId="7" xfId="0" applyFill="1" applyBorder="1"/>
    <xf numFmtId="0" fontId="16" fillId="2" borderId="18" xfId="0" applyFont="1" applyFill="1" applyBorder="1"/>
    <xf numFmtId="0" fontId="20" fillId="2" borderId="18" xfId="0" applyFont="1" applyFill="1" applyBorder="1" applyAlignment="1">
      <alignment vertical="center"/>
    </xf>
    <xf numFmtId="0" fontId="21" fillId="2" borderId="18" xfId="0" applyFont="1" applyFill="1" applyBorder="1"/>
    <xf numFmtId="0" fontId="0" fillId="2" borderId="0" xfId="0" applyFill="1" applyAlignment="1">
      <alignment horizontal="right"/>
    </xf>
    <xf numFmtId="0" fontId="23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12" fillId="3" borderId="14" xfId="0" applyFont="1" applyFill="1" applyBorder="1" applyAlignment="1">
      <alignment horizontal="right" wrapText="1"/>
    </xf>
    <xf numFmtId="2" fontId="0" fillId="2" borderId="0" xfId="0" applyNumberFormat="1" applyFill="1"/>
    <xf numFmtId="1" fontId="0" fillId="2" borderId="0" xfId="0" applyNumberFormat="1" applyFill="1"/>
    <xf numFmtId="165" fontId="0" fillId="2" borderId="0" xfId="0" applyNumberFormat="1" applyFill="1"/>
    <xf numFmtId="165" fontId="2" fillId="2" borderId="0" xfId="0" applyNumberFormat="1" applyFont="1" applyFill="1"/>
    <xf numFmtId="164" fontId="0" fillId="2" borderId="0" xfId="0" applyNumberFormat="1" applyFill="1"/>
    <xf numFmtId="0" fontId="24" fillId="2" borderId="0" xfId="0" applyFont="1" applyFill="1"/>
    <xf numFmtId="0" fontId="24" fillId="2" borderId="0" xfId="0" applyFont="1" applyFill="1" applyAlignment="1">
      <alignment vertical="center"/>
    </xf>
    <xf numFmtId="0" fontId="10" fillId="5" borderId="0" xfId="0" applyFont="1" applyFill="1" applyBorder="1" applyAlignment="1">
      <alignment horizontal="right"/>
    </xf>
    <xf numFmtId="164" fontId="0" fillId="5" borderId="0" xfId="0" applyNumberFormat="1" applyFill="1" applyBorder="1"/>
    <xf numFmtId="0" fontId="10" fillId="4" borderId="0" xfId="0" applyFont="1" applyFill="1" applyBorder="1" applyAlignment="1">
      <alignment horizontal="right"/>
    </xf>
    <xf numFmtId="164" fontId="0" fillId="4" borderId="0" xfId="0" applyNumberFormat="1" applyFill="1" applyBorder="1"/>
    <xf numFmtId="166" fontId="16" fillId="2" borderId="18" xfId="1" applyNumberFormat="1" applyFont="1" applyFill="1" applyBorder="1"/>
    <xf numFmtId="43" fontId="0" fillId="2" borderId="0" xfId="0" applyNumberFormat="1" applyFill="1"/>
    <xf numFmtId="165" fontId="0" fillId="2" borderId="0" xfId="0" applyNumberFormat="1" applyFill="1" applyBorder="1"/>
    <xf numFmtId="0" fontId="24" fillId="2" borderId="0" xfId="0" applyFont="1" applyFill="1" applyBorder="1"/>
    <xf numFmtId="168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right" wrapText="1"/>
    </xf>
    <xf numFmtId="164" fontId="0" fillId="2" borderId="0" xfId="0" applyNumberFormat="1" applyFill="1" applyBorder="1"/>
    <xf numFmtId="166" fontId="0" fillId="2" borderId="0" xfId="0" applyNumberFormat="1" applyFill="1" applyBorder="1"/>
    <xf numFmtId="0" fontId="0" fillId="11" borderId="14" xfId="0" applyFill="1" applyBorder="1" applyAlignment="1">
      <alignment vertical="center"/>
    </xf>
    <xf numFmtId="0" fontId="0" fillId="11" borderId="7" xfId="0" applyFill="1" applyBorder="1" applyAlignment="1">
      <alignment vertical="center"/>
    </xf>
    <xf numFmtId="0" fontId="0" fillId="13" borderId="0" xfId="0" applyFill="1" applyBorder="1"/>
    <xf numFmtId="0" fontId="2" fillId="13" borderId="7" xfId="0" applyFont="1" applyFill="1" applyBorder="1"/>
    <xf numFmtId="0" fontId="10" fillId="13" borderId="7" xfId="0" applyFont="1" applyFill="1" applyBorder="1" applyAlignment="1">
      <alignment horizontal="center" vertical="top"/>
    </xf>
    <xf numFmtId="0" fontId="3" fillId="13" borderId="7" xfId="0" applyFont="1" applyFill="1" applyBorder="1" applyAlignment="1">
      <alignment vertical="center"/>
    </xf>
    <xf numFmtId="0" fontId="2" fillId="13" borderId="7" xfId="0" applyFont="1" applyFill="1" applyBorder="1" applyAlignment="1">
      <alignment vertical="center"/>
    </xf>
    <xf numFmtId="0" fontId="3" fillId="13" borderId="7" xfId="0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2" fillId="7" borderId="0" xfId="0" applyFont="1" applyFill="1"/>
    <xf numFmtId="0" fontId="3" fillId="7" borderId="0" xfId="0" applyFont="1" applyFill="1" applyAlignment="1">
      <alignment horizontal="right" vertical="center"/>
    </xf>
    <xf numFmtId="166" fontId="7" fillId="6" borderId="0" xfId="1" applyNumberFormat="1" applyFont="1" applyFill="1" applyAlignment="1" applyProtection="1">
      <alignment horizontal="center" vertical="center"/>
      <protection locked="0"/>
    </xf>
    <xf numFmtId="0" fontId="0" fillId="8" borderId="0" xfId="0" applyFill="1"/>
    <xf numFmtId="0" fontId="3" fillId="8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center" vertical="top"/>
    </xf>
    <xf numFmtId="0" fontId="26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right" vertical="center"/>
    </xf>
    <xf numFmtId="0" fontId="0" fillId="14" borderId="19" xfId="0" applyFill="1" applyBorder="1"/>
    <xf numFmtId="0" fontId="0" fillId="14" borderId="20" xfId="0" applyFill="1" applyBorder="1"/>
    <xf numFmtId="164" fontId="0" fillId="14" borderId="20" xfId="0" applyNumberFormat="1" applyFill="1" applyBorder="1"/>
    <xf numFmtId="168" fontId="0" fillId="14" borderId="20" xfId="0" applyNumberFormat="1" applyFill="1" applyBorder="1"/>
    <xf numFmtId="0" fontId="0" fillId="14" borderId="21" xfId="0" applyFill="1" applyBorder="1"/>
    <xf numFmtId="0" fontId="0" fillId="14" borderId="24" xfId="0" applyFill="1" applyBorder="1"/>
    <xf numFmtId="164" fontId="0" fillId="14" borderId="25" xfId="0" applyNumberFormat="1" applyFill="1" applyBorder="1"/>
    <xf numFmtId="0" fontId="0" fillId="14" borderId="25" xfId="0" applyFill="1" applyBorder="1"/>
    <xf numFmtId="168" fontId="0" fillId="14" borderId="25" xfId="0" applyNumberFormat="1" applyFill="1" applyBorder="1"/>
    <xf numFmtId="164" fontId="0" fillId="14" borderId="26" xfId="0" applyNumberFormat="1" applyFill="1" applyBorder="1"/>
    <xf numFmtId="0" fontId="11" fillId="2" borderId="0" xfId="0" applyFont="1" applyFill="1"/>
    <xf numFmtId="0" fontId="0" fillId="2" borderId="23" xfId="0" applyFill="1" applyBorder="1"/>
    <xf numFmtId="0" fontId="0" fillId="2" borderId="26" xfId="0" applyFill="1" applyBorder="1"/>
    <xf numFmtId="164" fontId="6" fillId="8" borderId="27" xfId="0" applyNumberFormat="1" applyFont="1" applyFill="1" applyBorder="1" applyAlignment="1">
      <alignment vertical="center"/>
    </xf>
    <xf numFmtId="0" fontId="28" fillId="14" borderId="0" xfId="0" applyFont="1" applyFill="1" applyBorder="1"/>
    <xf numFmtId="165" fontId="28" fillId="14" borderId="0" xfId="0" applyNumberFormat="1" applyFont="1" applyFill="1" applyBorder="1"/>
    <xf numFmtId="168" fontId="28" fillId="14" borderId="0" xfId="0" applyNumberFormat="1" applyFont="1" applyFill="1" applyBorder="1"/>
    <xf numFmtId="164" fontId="28" fillId="14" borderId="23" xfId="0" applyNumberFormat="1" applyFont="1" applyFill="1" applyBorder="1"/>
    <xf numFmtId="9" fontId="6" fillId="3" borderId="14" xfId="2" applyFont="1" applyFill="1" applyBorder="1" applyAlignment="1">
      <alignment vertical="center"/>
    </xf>
    <xf numFmtId="0" fontId="27" fillId="14" borderId="22" xfId="0" applyFont="1" applyFill="1" applyBorder="1" applyAlignment="1">
      <alignment vertical="center" wrapText="1"/>
    </xf>
    <xf numFmtId="0" fontId="0" fillId="14" borderId="22" xfId="0" applyFill="1" applyBorder="1"/>
    <xf numFmtId="0" fontId="27" fillId="14" borderId="0" xfId="0" applyFont="1" applyFill="1" applyBorder="1"/>
    <xf numFmtId="0" fontId="29" fillId="14" borderId="22" xfId="0" applyFont="1" applyFill="1" applyBorder="1" applyAlignment="1">
      <alignment horizontal="center" vertical="top"/>
    </xf>
    <xf numFmtId="0" fontId="30" fillId="5" borderId="0" xfId="0" applyFont="1" applyFill="1" applyAlignment="1">
      <alignment vertical="center"/>
    </xf>
    <xf numFmtId="0" fontId="15" fillId="10" borderId="0" xfId="0" applyFont="1" applyFill="1" applyAlignment="1" applyProtection="1">
      <alignment horizontal="center" vertical="center"/>
      <protection locked="0"/>
    </xf>
    <xf numFmtId="0" fontId="17" fillId="11" borderId="7" xfId="0" applyFont="1" applyFill="1" applyBorder="1" applyAlignment="1" applyProtection="1">
      <protection locked="0"/>
    </xf>
    <xf numFmtId="0" fontId="17" fillId="11" borderId="14" xfId="0" applyFont="1" applyFill="1" applyBorder="1" applyProtection="1">
      <protection locked="0"/>
    </xf>
    <xf numFmtId="0" fontId="17" fillId="11" borderId="7" xfId="0" applyFont="1" applyFill="1" applyBorder="1" applyAlignment="1" applyProtection="1">
      <alignment horizontal="center" vertical="top"/>
      <protection locked="0"/>
    </xf>
    <xf numFmtId="0" fontId="17" fillId="11" borderId="14" xfId="0" applyFont="1" applyFill="1" applyBorder="1" applyAlignment="1" applyProtection="1">
      <alignment horizontal="center" vertical="top"/>
      <protection locked="0"/>
    </xf>
    <xf numFmtId="0" fontId="17" fillId="11" borderId="7" xfId="0" applyFont="1" applyFill="1" applyBorder="1" applyProtection="1">
      <protection locked="0"/>
    </xf>
    <xf numFmtId="16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0" fillId="10" borderId="0" xfId="0" applyFill="1" applyAlignment="1">
      <alignment vertical="center"/>
    </xf>
    <xf numFmtId="0" fontId="2" fillId="10" borderId="0" xfId="0" applyFont="1" applyFill="1" applyAlignment="1">
      <alignment horizontal="right" vertical="center"/>
    </xf>
    <xf numFmtId="0" fontId="0" fillId="10" borderId="0" xfId="0" applyFill="1"/>
    <xf numFmtId="164" fontId="0" fillId="9" borderId="0" xfId="0" applyNumberFormat="1" applyFill="1" applyAlignment="1">
      <alignment vertical="center"/>
    </xf>
    <xf numFmtId="0" fontId="0" fillId="2" borderId="4" xfId="0" applyFill="1" applyBorder="1" applyAlignment="1">
      <alignment vertical="center"/>
    </xf>
    <xf numFmtId="164" fontId="0" fillId="9" borderId="0" xfId="0" applyNumberFormat="1" applyFill="1" applyBorder="1" applyAlignment="1">
      <alignment vertical="center"/>
    </xf>
    <xf numFmtId="0" fontId="2" fillId="2" borderId="0" xfId="0" quotePrefix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/>
    </xf>
    <xf numFmtId="17" fontId="32" fillId="2" borderId="0" xfId="0" applyNumberFormat="1" applyFont="1" applyFill="1" applyAlignment="1">
      <alignment horizontal="right"/>
    </xf>
    <xf numFmtId="17" fontId="0" fillId="2" borderId="0" xfId="0" applyNumberFormat="1" applyFill="1" applyAlignment="1">
      <alignment horizontal="right"/>
    </xf>
    <xf numFmtId="0" fontId="33" fillId="2" borderId="0" xfId="0" applyFont="1" applyFill="1" applyAlignment="1">
      <alignment vertical="center"/>
    </xf>
    <xf numFmtId="17" fontId="34" fillId="2" borderId="31" xfId="0" applyNumberFormat="1" applyFont="1" applyFill="1" applyBorder="1" applyAlignment="1">
      <alignment horizontal="left" vertical="top"/>
    </xf>
    <xf numFmtId="0" fontId="0" fillId="2" borderId="32" xfId="0" applyFill="1" applyBorder="1"/>
    <xf numFmtId="0" fontId="0" fillId="2" borderId="32" xfId="0" applyFill="1" applyBorder="1" applyAlignment="1">
      <alignment horizontal="right"/>
    </xf>
    <xf numFmtId="17" fontId="2" fillId="2" borderId="32" xfId="0" applyNumberFormat="1" applyFont="1" applyFill="1" applyBorder="1"/>
    <xf numFmtId="17" fontId="2" fillId="2" borderId="33" xfId="0" applyNumberFormat="1" applyFont="1" applyFill="1" applyBorder="1" applyAlignment="1">
      <alignment horizontal="right"/>
    </xf>
    <xf numFmtId="0" fontId="35" fillId="2" borderId="0" xfId="0" applyFont="1" applyFill="1" applyAlignment="1">
      <alignment horizontal="left" vertical="center" indent="5"/>
    </xf>
    <xf numFmtId="0" fontId="36" fillId="2" borderId="0" xfId="0" applyFont="1" applyFill="1" applyAlignment="1">
      <alignment horizontal="left"/>
    </xf>
    <xf numFmtId="0" fontId="0" fillId="2" borderId="0" xfId="0" applyFill="1" applyAlignment="1">
      <alignment horizontal="right" vertical="center"/>
    </xf>
    <xf numFmtId="165" fontId="0" fillId="9" borderId="34" xfId="1" applyNumberFormat="1" applyFont="1" applyFill="1" applyBorder="1" applyAlignment="1">
      <alignment horizontal="right" vertical="center"/>
    </xf>
    <xf numFmtId="165" fontId="0" fillId="16" borderId="34" xfId="1" applyNumberFormat="1" applyFont="1" applyFill="1" applyBorder="1" applyAlignment="1">
      <alignment horizontal="right" vertical="center"/>
    </xf>
    <xf numFmtId="165" fontId="0" fillId="17" borderId="34" xfId="1" applyNumberFormat="1" applyFont="1" applyFill="1" applyBorder="1" applyAlignment="1">
      <alignment horizontal="right" vertical="center"/>
    </xf>
    <xf numFmtId="165" fontId="0" fillId="6" borderId="34" xfId="1" applyNumberFormat="1" applyFont="1" applyFill="1" applyBorder="1" applyAlignment="1">
      <alignment horizontal="right" vertical="center"/>
    </xf>
    <xf numFmtId="165" fontId="0" fillId="12" borderId="34" xfId="1" applyNumberFormat="1" applyFont="1" applyFill="1" applyBorder="1" applyAlignment="1">
      <alignment horizontal="right" vertical="center"/>
    </xf>
    <xf numFmtId="165" fontId="0" fillId="18" borderId="34" xfId="1" applyNumberFormat="1" applyFont="1" applyFill="1" applyBorder="1" applyAlignment="1">
      <alignment horizontal="right" vertical="center"/>
    </xf>
    <xf numFmtId="165" fontId="0" fillId="4" borderId="34" xfId="1" applyNumberFormat="1" applyFont="1" applyFill="1" applyBorder="1" applyAlignment="1">
      <alignment horizontal="right" vertical="center"/>
    </xf>
    <xf numFmtId="165" fontId="0" fillId="15" borderId="34" xfId="1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/>
    </xf>
    <xf numFmtId="0" fontId="0" fillId="0" borderId="35" xfId="0" applyFill="1" applyBorder="1" applyAlignment="1">
      <alignment horizontal="right" vertical="center"/>
    </xf>
    <xf numFmtId="166" fontId="0" fillId="9" borderId="35" xfId="1" applyNumberFormat="1" applyFont="1" applyFill="1" applyBorder="1" applyAlignment="1">
      <alignment horizontal="center" vertical="center"/>
    </xf>
    <xf numFmtId="166" fontId="0" fillId="16" borderId="35" xfId="1" applyNumberFormat="1" applyFont="1" applyFill="1" applyBorder="1" applyAlignment="1">
      <alignment horizontal="center" vertical="center"/>
    </xf>
    <xf numFmtId="166" fontId="0" fillId="17" borderId="35" xfId="1" applyNumberFormat="1" applyFont="1" applyFill="1" applyBorder="1" applyAlignment="1">
      <alignment horizontal="center" vertical="center"/>
    </xf>
    <xf numFmtId="166" fontId="0" fillId="6" borderId="35" xfId="1" applyNumberFormat="1" applyFont="1" applyFill="1" applyBorder="1" applyAlignment="1">
      <alignment horizontal="center" vertical="center"/>
    </xf>
    <xf numFmtId="166" fontId="0" fillId="12" borderId="35" xfId="1" applyNumberFormat="1" applyFont="1" applyFill="1" applyBorder="1" applyAlignment="1">
      <alignment horizontal="center" vertical="center"/>
    </xf>
    <xf numFmtId="166" fontId="0" fillId="18" borderId="35" xfId="1" applyNumberFormat="1" applyFont="1" applyFill="1" applyBorder="1" applyAlignment="1">
      <alignment horizontal="center" vertical="center"/>
    </xf>
    <xf numFmtId="166" fontId="0" fillId="4" borderId="35" xfId="1" applyNumberFormat="1" applyFont="1" applyFill="1" applyBorder="1" applyAlignment="1">
      <alignment horizontal="center" vertical="center"/>
    </xf>
    <xf numFmtId="166" fontId="0" fillId="15" borderId="34" xfId="1" applyNumberFormat="1" applyFont="1" applyFill="1" applyBorder="1" applyAlignment="1">
      <alignment horizontal="center" vertical="center"/>
    </xf>
    <xf numFmtId="166" fontId="0" fillId="9" borderId="34" xfId="1" applyNumberFormat="1" applyFont="1" applyFill="1" applyBorder="1" applyAlignment="1">
      <alignment horizontal="center" vertical="center"/>
    </xf>
    <xf numFmtId="166" fontId="0" fillId="16" borderId="34" xfId="1" applyNumberFormat="1" applyFont="1" applyFill="1" applyBorder="1" applyAlignment="1">
      <alignment horizontal="center" vertical="center"/>
    </xf>
    <xf numFmtId="166" fontId="0" fillId="17" borderId="34" xfId="1" applyNumberFormat="1" applyFont="1" applyFill="1" applyBorder="1" applyAlignment="1">
      <alignment horizontal="center" vertical="center"/>
    </xf>
    <xf numFmtId="166" fontId="0" fillId="6" borderId="34" xfId="1" applyNumberFormat="1" applyFont="1" applyFill="1" applyBorder="1" applyAlignment="1">
      <alignment horizontal="center" vertical="center"/>
    </xf>
    <xf numFmtId="166" fontId="0" fillId="12" borderId="34" xfId="1" applyNumberFormat="1" applyFont="1" applyFill="1" applyBorder="1" applyAlignment="1">
      <alignment horizontal="center" vertical="center"/>
    </xf>
    <xf numFmtId="166" fontId="0" fillId="18" borderId="34" xfId="1" applyNumberFormat="1" applyFont="1" applyFill="1" applyBorder="1" applyAlignment="1">
      <alignment horizontal="center" vertical="center"/>
    </xf>
    <xf numFmtId="166" fontId="0" fillId="4" borderId="34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31" fillId="2" borderId="0" xfId="0" applyFont="1" applyFill="1"/>
    <xf numFmtId="0" fontId="0" fillId="0" borderId="34" xfId="0" applyFill="1" applyBorder="1" applyAlignment="1">
      <alignment horizontal="right" vertical="center"/>
    </xf>
    <xf numFmtId="166" fontId="0" fillId="0" borderId="34" xfId="1" applyNumberFormat="1" applyFont="1" applyFill="1" applyBorder="1" applyAlignment="1">
      <alignment horizontal="center" vertical="center"/>
    </xf>
    <xf numFmtId="164" fontId="0" fillId="0" borderId="34" xfId="0" applyNumberFormat="1" applyFill="1" applyBorder="1" applyAlignment="1">
      <alignment horizontal="center" vertical="center"/>
    </xf>
    <xf numFmtId="164" fontId="0" fillId="9" borderId="34" xfId="0" applyNumberFormat="1" applyFill="1" applyBorder="1" applyAlignment="1">
      <alignment horizontal="center" vertical="center"/>
    </xf>
    <xf numFmtId="164" fontId="0" fillId="16" borderId="34" xfId="0" applyNumberFormat="1" applyFill="1" applyBorder="1" applyAlignment="1">
      <alignment horizontal="center" vertical="center"/>
    </xf>
    <xf numFmtId="164" fontId="0" fillId="17" borderId="34" xfId="0" applyNumberFormat="1" applyFill="1" applyBorder="1" applyAlignment="1">
      <alignment horizontal="center" vertical="center"/>
    </xf>
    <xf numFmtId="164" fontId="0" fillId="6" borderId="34" xfId="0" applyNumberFormat="1" applyFill="1" applyBorder="1" applyAlignment="1">
      <alignment horizontal="center" vertical="center"/>
    </xf>
    <xf numFmtId="164" fontId="0" fillId="12" borderId="34" xfId="0" applyNumberFormat="1" applyFill="1" applyBorder="1" applyAlignment="1">
      <alignment horizontal="center" vertical="center"/>
    </xf>
    <xf numFmtId="164" fontId="0" fillId="18" borderId="34" xfId="0" applyNumberFormat="1" applyFill="1" applyBorder="1" applyAlignment="1">
      <alignment horizontal="center" vertical="center"/>
    </xf>
    <xf numFmtId="164" fontId="0" fillId="4" borderId="34" xfId="0" applyNumberFormat="1" applyFill="1" applyBorder="1" applyAlignment="1">
      <alignment horizontal="center" vertical="center"/>
    </xf>
    <xf numFmtId="164" fontId="0" fillId="15" borderId="34" xfId="0" applyNumberForma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indent="5"/>
    </xf>
    <xf numFmtId="0" fontId="31" fillId="2" borderId="0" xfId="0" applyFont="1" applyFill="1" applyAlignment="1">
      <alignment horizontal="right"/>
    </xf>
    <xf numFmtId="0" fontId="0" fillId="0" borderId="34" xfId="0" applyFill="1" applyBorder="1" applyAlignment="1">
      <alignment horizontal="center" vertical="center"/>
    </xf>
    <xf numFmtId="164" fontId="0" fillId="0" borderId="34" xfId="0" applyNumberForma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164" fontId="2" fillId="2" borderId="34" xfId="0" applyNumberFormat="1" applyFont="1" applyFill="1" applyBorder="1" applyAlignment="1">
      <alignment horizontal="right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21" fillId="2" borderId="0" xfId="0" applyFont="1" applyFill="1" applyBorder="1" applyAlignment="1">
      <alignment horizontal="right"/>
    </xf>
    <xf numFmtId="164" fontId="21" fillId="2" borderId="0" xfId="0" applyNumberFormat="1" applyFont="1" applyFill="1" applyBorder="1"/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/>
    </xf>
    <xf numFmtId="0" fontId="2" fillId="11" borderId="0" xfId="0" applyFont="1" applyFill="1"/>
    <xf numFmtId="0" fontId="0" fillId="11" borderId="0" xfId="0" applyFill="1"/>
    <xf numFmtId="17" fontId="21" fillId="2" borderId="0" xfId="0" applyNumberFormat="1" applyFont="1" applyFill="1"/>
    <xf numFmtId="165" fontId="21" fillId="2" borderId="0" xfId="0" applyNumberFormat="1" applyFont="1" applyFill="1"/>
    <xf numFmtId="0" fontId="21" fillId="2" borderId="0" xfId="0" applyFont="1" applyFill="1" applyAlignment="1">
      <alignment horizontal="left"/>
    </xf>
    <xf numFmtId="0" fontId="0" fillId="11" borderId="0" xfId="0" applyFill="1" applyAlignment="1">
      <alignment horizontal="right"/>
    </xf>
    <xf numFmtId="0" fontId="0" fillId="12" borderId="0" xfId="0" applyFill="1" applyAlignment="1">
      <alignment horizontal="right" vertical="center"/>
    </xf>
    <xf numFmtId="164" fontId="0" fillId="12" borderId="0" xfId="0" applyNumberFormat="1" applyFill="1" applyAlignment="1">
      <alignment horizontal="right" vertical="center"/>
    </xf>
    <xf numFmtId="0" fontId="21" fillId="2" borderId="0" xfId="0" applyFont="1" applyFill="1"/>
    <xf numFmtId="166" fontId="0" fillId="2" borderId="0" xfId="0" applyNumberFormat="1" applyFill="1" applyAlignment="1">
      <alignment horizontal="right" vertical="center"/>
    </xf>
    <xf numFmtId="0" fontId="21" fillId="2" borderId="0" xfId="0" applyFont="1" applyFill="1" applyBorder="1"/>
    <xf numFmtId="164" fontId="21" fillId="2" borderId="0" xfId="0" applyNumberFormat="1" applyFont="1" applyFill="1"/>
    <xf numFmtId="0" fontId="0" fillId="2" borderId="0" xfId="0" applyFill="1" applyBorder="1" applyAlignment="1">
      <alignment horizontal="right"/>
    </xf>
    <xf numFmtId="43" fontId="0" fillId="2" borderId="0" xfId="1" applyFont="1" applyFill="1" applyBorder="1"/>
    <xf numFmtId="165" fontId="0" fillId="9" borderId="34" xfId="0" applyNumberFormat="1" applyFill="1" applyBorder="1" applyAlignment="1">
      <alignment horizontal="center" vertical="center"/>
    </xf>
    <xf numFmtId="165" fontId="0" fillId="16" borderId="34" xfId="0" applyNumberFormat="1" applyFill="1" applyBorder="1" applyAlignment="1">
      <alignment horizontal="center" vertical="center"/>
    </xf>
    <xf numFmtId="165" fontId="0" fillId="17" borderId="34" xfId="0" applyNumberFormat="1" applyFill="1" applyBorder="1" applyAlignment="1">
      <alignment horizontal="center" vertical="center"/>
    </xf>
    <xf numFmtId="165" fontId="0" fillId="6" borderId="34" xfId="0" applyNumberFormat="1" applyFill="1" applyBorder="1" applyAlignment="1">
      <alignment horizontal="center" vertical="center"/>
    </xf>
    <xf numFmtId="165" fontId="0" fillId="12" borderId="34" xfId="0" applyNumberFormat="1" applyFill="1" applyBorder="1" applyAlignment="1">
      <alignment horizontal="center" vertical="center"/>
    </xf>
    <xf numFmtId="165" fontId="0" fillId="18" borderId="34" xfId="0" applyNumberFormat="1" applyFill="1" applyBorder="1" applyAlignment="1">
      <alignment horizontal="center" vertical="center"/>
    </xf>
    <xf numFmtId="165" fontId="0" fillId="4" borderId="34" xfId="0" applyNumberFormat="1" applyFill="1" applyBorder="1" applyAlignment="1">
      <alignment horizontal="center" vertical="center"/>
    </xf>
    <xf numFmtId="165" fontId="0" fillId="15" borderId="34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9" fontId="0" fillId="2" borderId="0" xfId="2" applyFont="1" applyFill="1" applyAlignment="1">
      <alignment horizontal="right"/>
    </xf>
    <xf numFmtId="165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169" fontId="0" fillId="2" borderId="0" xfId="0" applyNumberFormat="1" applyFill="1" applyAlignment="1">
      <alignment horizontal="right" vertical="center"/>
    </xf>
    <xf numFmtId="17" fontId="21" fillId="2" borderId="0" xfId="0" applyNumberFormat="1" applyFont="1" applyFill="1" applyBorder="1"/>
    <xf numFmtId="165" fontId="21" fillId="2" borderId="0" xfId="0" applyNumberFormat="1" applyFont="1" applyFill="1" applyBorder="1"/>
    <xf numFmtId="167" fontId="39" fillId="2" borderId="0" xfId="0" applyNumberFormat="1" applyFont="1" applyFill="1" applyBorder="1" applyAlignment="1">
      <alignment horizontal="center"/>
    </xf>
    <xf numFmtId="0" fontId="39" fillId="2" borderId="0" xfId="0" applyFont="1" applyFill="1" applyBorder="1"/>
    <xf numFmtId="167" fontId="0" fillId="2" borderId="0" xfId="0" applyNumberFormat="1" applyFill="1"/>
    <xf numFmtId="0" fontId="0" fillId="2" borderId="36" xfId="0" applyFill="1" applyBorder="1"/>
    <xf numFmtId="170" fontId="0" fillId="2" borderId="0" xfId="0" applyNumberFormat="1" applyFill="1"/>
    <xf numFmtId="0" fontId="2" fillId="7" borderId="0" xfId="0" applyFont="1" applyFill="1" applyAlignment="1">
      <alignment horizontal="left" vertical="center"/>
    </xf>
    <xf numFmtId="0" fontId="0" fillId="7" borderId="0" xfId="0" applyFill="1" applyAlignment="1">
      <alignment horizontal="right" vertical="center"/>
    </xf>
    <xf numFmtId="164" fontId="0" fillId="6" borderId="0" xfId="0" applyNumberFormat="1" applyFill="1" applyAlignment="1">
      <alignment horizontal="right" vertical="center"/>
    </xf>
    <xf numFmtId="165" fontId="0" fillId="6" borderId="0" xfId="0" applyNumberFormat="1" applyFill="1" applyAlignment="1">
      <alignment horizontal="right" vertical="center"/>
    </xf>
    <xf numFmtId="0" fontId="2" fillId="19" borderId="0" xfId="0" applyFont="1" applyFill="1" applyAlignment="1">
      <alignment horizontal="left" vertical="center"/>
    </xf>
    <xf numFmtId="0" fontId="0" fillId="19" borderId="0" xfId="0" applyFill="1" applyAlignment="1">
      <alignment horizontal="right" vertical="center"/>
    </xf>
    <xf numFmtId="164" fontId="0" fillId="16" borderId="0" xfId="0" applyNumberFormat="1" applyFill="1" applyAlignment="1">
      <alignment horizontal="right" vertical="center"/>
    </xf>
    <xf numFmtId="166" fontId="0" fillId="16" borderId="0" xfId="1" applyNumberFormat="1" applyFont="1" applyFill="1" applyAlignment="1">
      <alignment horizontal="right" vertical="center"/>
    </xf>
    <xf numFmtId="165" fontId="0" fillId="16" borderId="0" xfId="0" applyNumberFormat="1" applyFill="1" applyAlignment="1">
      <alignment horizontal="right" vertical="center"/>
    </xf>
    <xf numFmtId="0" fontId="0" fillId="19" borderId="0" xfId="0" applyFill="1"/>
    <xf numFmtId="0" fontId="0" fillId="19" borderId="0" xfId="0" applyFill="1" applyAlignment="1">
      <alignment horizontal="right"/>
    </xf>
    <xf numFmtId="165" fontId="0" fillId="16" borderId="0" xfId="0" applyNumberFormat="1" applyFill="1"/>
    <xf numFmtId="164" fontId="0" fillId="16" borderId="0" xfId="0" applyNumberFormat="1" applyFill="1"/>
    <xf numFmtId="168" fontId="0" fillId="16" borderId="0" xfId="0" applyNumberFormat="1" applyFill="1"/>
    <xf numFmtId="0" fontId="2" fillId="19" borderId="0" xfId="0" applyFont="1" applyFill="1"/>
    <xf numFmtId="0" fontId="0" fillId="16" borderId="0" xfId="0" applyFill="1"/>
    <xf numFmtId="167" fontId="0" fillId="16" borderId="0" xfId="0" applyNumberFormat="1" applyFill="1"/>
    <xf numFmtId="17" fontId="0" fillId="16" borderId="0" xfId="0" applyNumberFormat="1" applyFill="1"/>
    <xf numFmtId="166" fontId="0" fillId="2" borderId="0" xfId="1" applyNumberFormat="1" applyFont="1" applyFill="1"/>
    <xf numFmtId="17" fontId="0" fillId="2" borderId="0" xfId="0" applyNumberFormat="1" applyFill="1"/>
    <xf numFmtId="0" fontId="0" fillId="19" borderId="0" xfId="0" applyFill="1" applyAlignment="1">
      <alignment horizontal="left" vertical="center"/>
    </xf>
    <xf numFmtId="0" fontId="2" fillId="10" borderId="0" xfId="0" applyFont="1" applyFill="1"/>
    <xf numFmtId="0" fontId="0" fillId="10" borderId="0" xfId="0" applyFill="1" applyAlignment="1">
      <alignment horizontal="right"/>
    </xf>
    <xf numFmtId="0" fontId="0" fillId="9" borderId="0" xfId="0" applyFill="1"/>
    <xf numFmtId="164" fontId="0" fillId="9" borderId="0" xfId="0" applyNumberFormat="1" applyFill="1"/>
    <xf numFmtId="0" fontId="2" fillId="10" borderId="37" xfId="0" applyFont="1" applyFill="1" applyBorder="1"/>
    <xf numFmtId="0" fontId="0" fillId="10" borderId="37" xfId="0" applyFill="1" applyBorder="1"/>
    <xf numFmtId="0" fontId="0" fillId="2" borderId="0" xfId="0" applyFill="1" applyAlignment="1">
      <alignment wrapText="1"/>
    </xf>
    <xf numFmtId="0" fontId="0" fillId="20" borderId="0" xfId="0" applyFill="1"/>
    <xf numFmtId="0" fontId="0" fillId="20" borderId="0" xfId="0" applyFill="1" applyAlignment="1">
      <alignment horizontal="right"/>
    </xf>
    <xf numFmtId="165" fontId="0" fillId="6" borderId="0" xfId="0" applyNumberFormat="1" applyFill="1"/>
    <xf numFmtId="0" fontId="0" fillId="6" borderId="0" xfId="0" applyFill="1"/>
    <xf numFmtId="0" fontId="0" fillId="10" borderId="37" xfId="0" applyFill="1" applyBorder="1" applyAlignment="1">
      <alignment horizontal="right"/>
    </xf>
    <xf numFmtId="1" fontId="0" fillId="9" borderId="0" xfId="0" applyNumberFormat="1" applyFill="1" applyAlignment="1">
      <alignment horizontal="right"/>
    </xf>
    <xf numFmtId="1" fontId="0" fillId="9" borderId="0" xfId="0" applyNumberFormat="1" applyFill="1"/>
    <xf numFmtId="0" fontId="0" fillId="9" borderId="0" xfId="0" applyFill="1" applyAlignment="1">
      <alignment horizontal="right"/>
    </xf>
    <xf numFmtId="0" fontId="0" fillId="2" borderId="0" xfId="0" applyFill="1" applyAlignment="1"/>
    <xf numFmtId="171" fontId="0" fillId="6" borderId="0" xfId="0" applyNumberFormat="1" applyFill="1"/>
    <xf numFmtId="0" fontId="0" fillId="2" borderId="0" xfId="0" applyFont="1" applyFill="1"/>
    <xf numFmtId="0" fontId="8" fillId="13" borderId="0" xfId="0" applyFont="1" applyFill="1" applyBorder="1" applyAlignment="1">
      <alignment horizontal="center" vertical="top"/>
    </xf>
    <xf numFmtId="0" fontId="11" fillId="13" borderId="0" xfId="0" applyFont="1" applyFill="1" applyBorder="1" applyAlignment="1">
      <alignment horizontal="center" vertical="top"/>
    </xf>
    <xf numFmtId="0" fontId="12" fillId="13" borderId="0" xfId="0" applyFont="1" applyFill="1" applyAlignment="1">
      <alignment horizontal="right" vertical="center" wrapText="1"/>
    </xf>
    <xf numFmtId="164" fontId="0" fillId="2" borderId="0" xfId="0" applyNumberFormat="1" applyFont="1" applyFill="1" applyAlignment="1">
      <alignment horizontal="center" vertical="center"/>
    </xf>
    <xf numFmtId="164" fontId="0" fillId="2" borderId="40" xfId="0" applyNumberFormat="1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right" vertical="top" wrapText="1"/>
    </xf>
    <xf numFmtId="0" fontId="43" fillId="13" borderId="0" xfId="0" applyFont="1" applyFill="1"/>
    <xf numFmtId="0" fontId="44" fillId="13" borderId="0" xfId="0" applyFont="1" applyFill="1" applyAlignment="1">
      <alignment horizontal="right" vertical="center"/>
    </xf>
    <xf numFmtId="0" fontId="45" fillId="13" borderId="0" xfId="0" applyFont="1" applyFill="1"/>
    <xf numFmtId="0" fontId="43" fillId="13" borderId="2" xfId="0" applyFont="1" applyFill="1" applyBorder="1" applyAlignment="1">
      <alignment vertical="center"/>
    </xf>
    <xf numFmtId="0" fontId="44" fillId="13" borderId="2" xfId="0" applyFont="1" applyFill="1" applyBorder="1" applyAlignment="1">
      <alignment horizontal="right" vertical="center"/>
    </xf>
    <xf numFmtId="0" fontId="12" fillId="13" borderId="0" xfId="0" applyFont="1" applyFill="1" applyBorder="1" applyAlignment="1">
      <alignment vertical="center"/>
    </xf>
    <xf numFmtId="0" fontId="2" fillId="13" borderId="0" xfId="0" applyFont="1" applyFill="1" applyAlignment="1">
      <alignment vertical="top"/>
    </xf>
    <xf numFmtId="165" fontId="0" fillId="9" borderId="0" xfId="0" applyNumberFormat="1" applyFill="1" applyBorder="1" applyAlignment="1">
      <alignment vertical="center"/>
    </xf>
    <xf numFmtId="164" fontId="8" fillId="13" borderId="14" xfId="0" applyNumberFormat="1" applyFont="1" applyFill="1" applyBorder="1" applyAlignment="1">
      <alignment horizontal="right" vertical="center"/>
    </xf>
    <xf numFmtId="164" fontId="0" fillId="10" borderId="4" xfId="0" applyNumberFormat="1" applyFill="1" applyBorder="1" applyAlignment="1">
      <alignment vertical="center"/>
    </xf>
    <xf numFmtId="164" fontId="2" fillId="10" borderId="0" xfId="0" applyNumberFormat="1" applyFont="1" applyFill="1" applyBorder="1" applyAlignment="1">
      <alignment horizontal="right" vertical="center"/>
    </xf>
    <xf numFmtId="164" fontId="0" fillId="10" borderId="4" xfId="0" applyNumberFormat="1" applyFill="1" applyBorder="1"/>
    <xf numFmtId="0" fontId="16" fillId="2" borderId="0" xfId="0" applyFont="1" applyFill="1"/>
    <xf numFmtId="0" fontId="47" fillId="2" borderId="0" xfId="0" applyFont="1" applyFill="1"/>
    <xf numFmtId="0" fontId="4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5" fontId="0" fillId="16" borderId="30" xfId="1" applyNumberFormat="1" applyFont="1" applyFill="1" applyBorder="1" applyAlignment="1">
      <alignment horizontal="right" vertical="center"/>
    </xf>
    <xf numFmtId="166" fontId="0" fillId="15" borderId="35" xfId="1" applyNumberFormat="1" applyFont="1" applyFill="1" applyBorder="1" applyAlignment="1">
      <alignment horizontal="center" vertical="center"/>
    </xf>
    <xf numFmtId="165" fontId="0" fillId="15" borderId="15" xfId="1" applyNumberFormat="1" applyFont="1" applyFill="1" applyBorder="1" applyAlignment="1" applyProtection="1">
      <alignment horizontal="right" vertical="center"/>
      <protection locked="0"/>
    </xf>
    <xf numFmtId="165" fontId="0" fillId="9" borderId="15" xfId="1" applyNumberFormat="1" applyFont="1" applyFill="1" applyBorder="1" applyAlignment="1" applyProtection="1">
      <alignment horizontal="right" vertical="center"/>
      <protection locked="0"/>
    </xf>
    <xf numFmtId="165" fontId="0" fillId="16" borderId="15" xfId="1" applyNumberFormat="1" applyFont="1" applyFill="1" applyBorder="1" applyAlignment="1" applyProtection="1">
      <alignment horizontal="right" vertical="center"/>
      <protection locked="0"/>
    </xf>
    <xf numFmtId="165" fontId="0" fillId="17" borderId="15" xfId="1" applyNumberFormat="1" applyFont="1" applyFill="1" applyBorder="1" applyAlignment="1" applyProtection="1">
      <alignment horizontal="right" vertical="center"/>
      <protection locked="0"/>
    </xf>
    <xf numFmtId="165" fontId="0" fillId="6" borderId="15" xfId="1" applyNumberFormat="1" applyFont="1" applyFill="1" applyBorder="1" applyAlignment="1" applyProtection="1">
      <alignment horizontal="right" vertical="center"/>
      <protection locked="0"/>
    </xf>
    <xf numFmtId="165" fontId="0" fillId="12" borderId="15" xfId="1" applyNumberFormat="1" applyFont="1" applyFill="1" applyBorder="1" applyAlignment="1" applyProtection="1">
      <alignment horizontal="right" vertical="center"/>
      <protection locked="0"/>
    </xf>
    <xf numFmtId="165" fontId="0" fillId="18" borderId="15" xfId="1" applyNumberFormat="1" applyFont="1" applyFill="1" applyBorder="1" applyAlignment="1" applyProtection="1">
      <alignment horizontal="right" vertical="center"/>
      <protection locked="0"/>
    </xf>
    <xf numFmtId="165" fontId="0" fillId="4" borderId="15" xfId="1" applyNumberFormat="1" applyFont="1" applyFill="1" applyBorder="1" applyAlignment="1" applyProtection="1">
      <alignment horizontal="right" vertical="center"/>
      <protection locked="0"/>
    </xf>
    <xf numFmtId="0" fontId="46" fillId="2" borderId="0" xfId="0" applyFont="1" applyFill="1"/>
    <xf numFmtId="0" fontId="16" fillId="2" borderId="0" xfId="0" applyFont="1" applyFill="1" applyBorder="1"/>
    <xf numFmtId="0" fontId="49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 vertical="center"/>
    </xf>
    <xf numFmtId="0" fontId="50" fillId="2" borderId="0" xfId="0" applyFont="1" applyFill="1" applyAlignment="1">
      <alignment horizontal="right" vertical="center" wrapText="1"/>
    </xf>
    <xf numFmtId="0" fontId="49" fillId="2" borderId="0" xfId="0" applyFont="1" applyFill="1"/>
    <xf numFmtId="0" fontId="16" fillId="2" borderId="0" xfId="0" applyFont="1" applyFill="1" applyAlignment="1">
      <alignment horizontal="right"/>
    </xf>
    <xf numFmtId="0" fontId="49" fillId="2" borderId="0" xfId="0" applyFont="1" applyFill="1" applyBorder="1" applyAlignment="1">
      <alignment horizontal="left"/>
    </xf>
    <xf numFmtId="0" fontId="49" fillId="2" borderId="0" xfId="0" applyFont="1" applyFill="1" applyAlignment="1">
      <alignment vertical="center"/>
    </xf>
    <xf numFmtId="165" fontId="16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49" fillId="2" borderId="0" xfId="0" applyFont="1" applyFill="1" applyBorder="1" applyAlignment="1">
      <alignment vertical="center" wrapText="1"/>
    </xf>
    <xf numFmtId="165" fontId="16" fillId="2" borderId="0" xfId="0" applyNumberFormat="1" applyFont="1" applyFill="1" applyBorder="1" applyAlignment="1">
      <alignment vertical="center"/>
    </xf>
    <xf numFmtId="164" fontId="16" fillId="2" borderId="0" xfId="0" applyNumberFormat="1" applyFont="1" applyFill="1" applyAlignment="1">
      <alignment vertical="center"/>
    </xf>
    <xf numFmtId="2" fontId="16" fillId="2" borderId="0" xfId="0" applyNumberFormat="1" applyFont="1" applyFill="1" applyBorder="1" applyAlignment="1">
      <alignment vertical="center"/>
    </xf>
    <xf numFmtId="0" fontId="49" fillId="2" borderId="0" xfId="0" applyFont="1" applyFill="1" applyBorder="1" applyAlignment="1">
      <alignment horizontal="right" vertical="center" wrapText="1"/>
    </xf>
    <xf numFmtId="0" fontId="44" fillId="2" borderId="14" xfId="0" applyFont="1" applyFill="1" applyBorder="1" applyAlignment="1">
      <alignment vertical="center"/>
    </xf>
    <xf numFmtId="0" fontId="45" fillId="2" borderId="14" xfId="0" applyFont="1" applyFill="1" applyBorder="1" applyAlignment="1">
      <alignment vertical="center"/>
    </xf>
    <xf numFmtId="164" fontId="16" fillId="2" borderId="14" xfId="0" applyNumberFormat="1" applyFont="1" applyFill="1" applyBorder="1" applyAlignment="1">
      <alignment horizontal="right" vertical="center"/>
    </xf>
    <xf numFmtId="166" fontId="16" fillId="2" borderId="14" xfId="0" applyNumberFormat="1" applyFont="1" applyFill="1" applyBorder="1" applyAlignment="1">
      <alignment vertical="center"/>
    </xf>
    <xf numFmtId="166" fontId="7" fillId="10" borderId="0" xfId="1" applyNumberFormat="1" applyFont="1" applyFill="1" applyAlignment="1" applyProtection="1">
      <alignment horizontal="center" vertical="center"/>
      <protection locked="0"/>
    </xf>
    <xf numFmtId="164" fontId="7" fillId="10" borderId="0" xfId="1" applyNumberFormat="1" applyFont="1" applyFill="1" applyAlignment="1" applyProtection="1">
      <alignment horizontal="right" vertical="center"/>
      <protection locked="0"/>
    </xf>
    <xf numFmtId="0" fontId="0" fillId="5" borderId="0" xfId="0" applyFill="1" applyAlignment="1">
      <alignment horizontal="left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7" xfId="0" applyNumberFormat="1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right" vertical="center" wrapText="1"/>
    </xf>
    <xf numFmtId="165" fontId="0" fillId="4" borderId="3" xfId="0" applyNumberFormat="1" applyFill="1" applyBorder="1" applyAlignment="1">
      <alignment horizontal="center" vertical="center"/>
    </xf>
    <xf numFmtId="165" fontId="0" fillId="4" borderId="8" xfId="0" applyNumberForma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right" wrapText="1"/>
    </xf>
    <xf numFmtId="0" fontId="0" fillId="4" borderId="5" xfId="0" applyFont="1" applyFill="1" applyBorder="1" applyAlignment="1">
      <alignment horizontal="right" wrapText="1"/>
    </xf>
    <xf numFmtId="0" fontId="0" fillId="5" borderId="0" xfId="0" applyFont="1" applyFill="1" applyBorder="1" applyAlignment="1">
      <alignment horizontal="right" wrapText="1"/>
    </xf>
    <xf numFmtId="0" fontId="0" fillId="5" borderId="5" xfId="0" applyFont="1" applyFill="1" applyBorder="1" applyAlignment="1">
      <alignment horizontal="right" wrapText="1"/>
    </xf>
    <xf numFmtId="17" fontId="4" fillId="3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 wrapText="1"/>
    </xf>
    <xf numFmtId="165" fontId="0" fillId="5" borderId="3" xfId="0" applyNumberFormat="1" applyFill="1" applyBorder="1" applyAlignment="1">
      <alignment horizontal="center" vertical="center"/>
    </xf>
    <xf numFmtId="165" fontId="0" fillId="5" borderId="8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65" fontId="7" fillId="5" borderId="2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165" fontId="7" fillId="5" borderId="7" xfId="0" applyNumberFormat="1" applyFont="1" applyFill="1" applyBorder="1" applyAlignment="1">
      <alignment horizontal="center" vertical="center"/>
    </xf>
    <xf numFmtId="165" fontId="7" fillId="5" borderId="8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 wrapText="1"/>
    </xf>
    <xf numFmtId="165" fontId="0" fillId="3" borderId="3" xfId="0" applyNumberForma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wrapText="1"/>
    </xf>
    <xf numFmtId="0" fontId="0" fillId="3" borderId="0" xfId="0" applyFill="1" applyBorder="1" applyAlignment="1">
      <alignment horizontal="right" wrapText="1"/>
    </xf>
    <xf numFmtId="0" fontId="0" fillId="3" borderId="3" xfId="0" applyFill="1" applyBorder="1" applyAlignment="1">
      <alignment horizontal="right" wrapText="1"/>
    </xf>
    <xf numFmtId="0" fontId="0" fillId="3" borderId="5" xfId="0" applyFill="1" applyBorder="1" applyAlignment="1">
      <alignment horizontal="right" wrapText="1"/>
    </xf>
    <xf numFmtId="164" fontId="42" fillId="2" borderId="38" xfId="0" applyNumberFormat="1" applyFont="1" applyFill="1" applyBorder="1" applyAlignment="1">
      <alignment horizontal="center" vertical="center" wrapText="1"/>
    </xf>
    <xf numFmtId="164" fontId="42" fillId="2" borderId="39" xfId="0" applyNumberFormat="1" applyFont="1" applyFill="1" applyBorder="1" applyAlignment="1">
      <alignment horizontal="center" vertical="center" wrapText="1"/>
    </xf>
    <xf numFmtId="0" fontId="46" fillId="11" borderId="7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right" wrapText="1"/>
    </xf>
    <xf numFmtId="0" fontId="12" fillId="3" borderId="14" xfId="0" applyFont="1" applyFill="1" applyBorder="1" applyAlignment="1">
      <alignment horizontal="right" wrapText="1"/>
    </xf>
    <xf numFmtId="0" fontId="27" fillId="14" borderId="0" xfId="0" applyFont="1" applyFill="1" applyBorder="1" applyAlignment="1">
      <alignment horizontal="left" vertical="top" wrapText="1"/>
    </xf>
    <xf numFmtId="0" fontId="27" fillId="14" borderId="23" xfId="0" applyFont="1" applyFill="1" applyBorder="1" applyAlignment="1">
      <alignment horizontal="left" vertical="top" wrapText="1"/>
    </xf>
    <xf numFmtId="0" fontId="11" fillId="12" borderId="0" xfId="0" applyFont="1" applyFill="1" applyBorder="1" applyAlignment="1">
      <alignment horizontal="right" vertical="center" wrapText="1"/>
    </xf>
    <xf numFmtId="164" fontId="3" fillId="13" borderId="2" xfId="0" applyNumberFormat="1" applyFont="1" applyFill="1" applyBorder="1" applyAlignment="1">
      <alignment horizontal="center" vertical="center"/>
    </xf>
    <xf numFmtId="164" fontId="18" fillId="13" borderId="7" xfId="0" applyNumberFormat="1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12" fillId="13" borderId="7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right" vertical="center" wrapText="1"/>
    </xf>
    <xf numFmtId="0" fontId="11" fillId="12" borderId="14" xfId="0" applyFont="1" applyFill="1" applyBorder="1" applyAlignment="1">
      <alignment horizontal="right" vertical="center" wrapText="1"/>
    </xf>
    <xf numFmtId="0" fontId="2" fillId="1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4" fillId="13" borderId="0" xfId="0" applyFont="1" applyFill="1" applyBorder="1" applyAlignment="1">
      <alignment horizontal="center" vertical="center" wrapText="1"/>
    </xf>
    <xf numFmtId="0" fontId="44" fillId="13" borderId="7" xfId="0" applyFont="1" applyFill="1" applyBorder="1" applyAlignment="1">
      <alignment horizontal="center" vertical="center" wrapText="1"/>
    </xf>
    <xf numFmtId="0" fontId="46" fillId="11" borderId="14" xfId="0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/>
    </xf>
    <xf numFmtId="0" fontId="0" fillId="11" borderId="0" xfId="0" applyFill="1" applyAlignment="1">
      <alignment horizontal="right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left"/>
    </xf>
    <xf numFmtId="17" fontId="0" fillId="5" borderId="28" xfId="0" applyNumberFormat="1" applyFill="1" applyBorder="1" applyAlignment="1">
      <alignment horizontal="center"/>
    </xf>
    <xf numFmtId="17" fontId="0" fillId="5" borderId="29" xfId="0" applyNumberFormat="1" applyFill="1" applyBorder="1" applyAlignment="1">
      <alignment horizontal="center"/>
    </xf>
    <xf numFmtId="17" fontId="0" fillId="5" borderId="30" xfId="0" applyNumberFormat="1" applyFill="1" applyBorder="1" applyAlignment="1">
      <alignment horizontal="center"/>
    </xf>
    <xf numFmtId="167" fontId="38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0" fillId="10" borderId="0" xfId="0" applyFill="1" applyAlignment="1">
      <alignment horizontal="right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31" fillId="2" borderId="0" xfId="0" applyFont="1" applyFill="1" applyAlignment="1">
      <alignment vertical="center"/>
    </xf>
  </cellXfs>
  <cellStyles count="5">
    <cellStyle name="Comma" xfId="1" builtinId="3"/>
    <cellStyle name="Comma 2" xfId="3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7C80"/>
      <color rgb="FFFF1D1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Cashflow series</a:t>
            </a:r>
          </a:p>
          <a:p>
            <a:pPr>
              <a:defRPr/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Cashflow!$D$38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Cashflow!$H$36:$Y$36</c:f>
              <c:numCache>
                <c:formatCode>mmm\-yy</c:formatCode>
                <c:ptCount val="18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  <c:pt idx="13">
                  <c:v>42856</c:v>
                </c:pt>
                <c:pt idx="14">
                  <c:v>42887</c:v>
                </c:pt>
                <c:pt idx="15">
                  <c:v>42917</c:v>
                </c:pt>
                <c:pt idx="16">
                  <c:v>42948</c:v>
                </c:pt>
                <c:pt idx="17">
                  <c:v>42979</c:v>
                </c:pt>
              </c:numCache>
            </c:numRef>
          </c:cat>
          <c:val>
            <c:numRef>
              <c:f>Cashflow!$H$38:$Y$38</c:f>
              <c:numCache>
                <c:formatCode>0%</c:formatCode>
                <c:ptCount val="18"/>
                <c:pt idx="0">
                  <c:v>0.96238244514106586</c:v>
                </c:pt>
                <c:pt idx="1">
                  <c:v>0.97492163009404365</c:v>
                </c:pt>
                <c:pt idx="2">
                  <c:v>0.97805642633228829</c:v>
                </c:pt>
                <c:pt idx="3">
                  <c:v>0.97805642633228829</c:v>
                </c:pt>
                <c:pt idx="4">
                  <c:v>0.97596656217345878</c:v>
                </c:pt>
                <c:pt idx="5">
                  <c:v>0.94775339602925834</c:v>
                </c:pt>
                <c:pt idx="6">
                  <c:v>0.96656217345872508</c:v>
                </c:pt>
                <c:pt idx="7">
                  <c:v>0.93939393939393923</c:v>
                </c:pt>
                <c:pt idx="8">
                  <c:v>0.96238244514106597</c:v>
                </c:pt>
                <c:pt idx="9">
                  <c:v>0.97471264367816091</c:v>
                </c:pt>
                <c:pt idx="10">
                  <c:v>0.96593521421107631</c:v>
                </c:pt>
                <c:pt idx="11">
                  <c:v>0.88271881375329619</c:v>
                </c:pt>
                <c:pt idx="12">
                  <c:v>0.9243270139821862</c:v>
                </c:pt>
                <c:pt idx="13">
                  <c:v>0.9243270139821862</c:v>
                </c:pt>
                <c:pt idx="14">
                  <c:v>0.9243270139821862</c:v>
                </c:pt>
                <c:pt idx="15">
                  <c:v>0.9337454040378742</c:v>
                </c:pt>
                <c:pt idx="16">
                  <c:v>0.92903620901003026</c:v>
                </c:pt>
                <c:pt idx="17">
                  <c:v>0.92903620901003026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5-4E4D-B0B2-86183991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323592"/>
        <c:axId val="446323920"/>
      </c:lineChart>
      <c:lineChart>
        <c:grouping val="standard"/>
        <c:varyColors val="0"/>
        <c:ser>
          <c:idx val="0"/>
          <c:order val="0"/>
          <c:tx>
            <c:strRef>
              <c:f>Cashflow!$D$37</c:f>
              <c:strCache>
                <c:ptCount val="1"/>
                <c:pt idx="0">
                  <c:v>Cash change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Cashflow!$H$36:$Y$36</c:f>
              <c:numCache>
                <c:formatCode>mmm\-yy</c:formatCode>
                <c:ptCount val="18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  <c:pt idx="13">
                  <c:v>42856</c:v>
                </c:pt>
                <c:pt idx="14">
                  <c:v>42887</c:v>
                </c:pt>
                <c:pt idx="15">
                  <c:v>42917</c:v>
                </c:pt>
                <c:pt idx="16">
                  <c:v>42948</c:v>
                </c:pt>
                <c:pt idx="17">
                  <c:v>42979</c:v>
                </c:pt>
              </c:numCache>
            </c:numRef>
          </c:cat>
          <c:val>
            <c:numRef>
              <c:f>Cashflow!$H$37:$Y$37</c:f>
              <c:numCache>
                <c:formatCode>"£"#,##0</c:formatCode>
                <c:ptCount val="18"/>
                <c:pt idx="0">
                  <c:v>64470</c:v>
                </c:pt>
                <c:pt idx="1">
                  <c:v>65309.999999999985</c:v>
                </c:pt>
                <c:pt idx="2">
                  <c:v>65519.999999999993</c:v>
                </c:pt>
                <c:pt idx="3">
                  <c:v>65519.999999999993</c:v>
                </c:pt>
                <c:pt idx="4">
                  <c:v>65380.000000000007</c:v>
                </c:pt>
                <c:pt idx="5">
                  <c:v>63490.000000000015</c:v>
                </c:pt>
                <c:pt idx="6">
                  <c:v>64749.999999999993</c:v>
                </c:pt>
                <c:pt idx="7">
                  <c:v>62929.999999999985</c:v>
                </c:pt>
                <c:pt idx="8">
                  <c:v>64470.000000000007</c:v>
                </c:pt>
                <c:pt idx="9">
                  <c:v>65296</c:v>
                </c:pt>
                <c:pt idx="10">
                  <c:v>64708</c:v>
                </c:pt>
                <c:pt idx="11">
                  <c:v>59133.333333333314</c:v>
                </c:pt>
                <c:pt idx="12">
                  <c:v>61920.666666666657</c:v>
                </c:pt>
                <c:pt idx="13">
                  <c:v>61920.666666666657</c:v>
                </c:pt>
                <c:pt idx="14">
                  <c:v>61920.666666666657</c:v>
                </c:pt>
                <c:pt idx="15">
                  <c:v>62551.604616497192</c:v>
                </c:pt>
                <c:pt idx="16">
                  <c:v>62236.135641581925</c:v>
                </c:pt>
                <c:pt idx="17">
                  <c:v>62236.135641581925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5-4E4D-B0B2-86183991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515144"/>
        <c:axId val="527505344"/>
      </c:lineChart>
      <c:dateAx>
        <c:axId val="446323592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323920"/>
        <c:crosses val="autoZero"/>
        <c:auto val="1"/>
        <c:lblOffset val="100"/>
        <c:baseTimeUnit val="months"/>
      </c:dateAx>
      <c:valAx>
        <c:axId val="446323920"/>
        <c:scaling>
          <c:orientation val="minMax"/>
          <c:max val="1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323592"/>
        <c:crosses val="autoZero"/>
        <c:crossBetween val="between"/>
      </c:valAx>
      <c:valAx>
        <c:axId val="527505344"/>
        <c:scaling>
          <c:orientation val="minMax"/>
          <c:min val="0"/>
        </c:scaling>
        <c:delete val="0"/>
        <c:axPos val="r"/>
        <c:numFmt formatCode="&quot;£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515144"/>
        <c:crosses val="max"/>
        <c:crossBetween val="between"/>
      </c:valAx>
      <c:dateAx>
        <c:axId val="4425151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275053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I$23" lockText="1" noThreeD="1"/>
</file>

<file path=xl/ctrlProps/ctrlProp10.xml><?xml version="1.0" encoding="utf-8"?>
<formControlPr xmlns="http://schemas.microsoft.com/office/spreadsheetml/2009/9/main" objectType="CheckBox" checked="Checked" fmlaLink="$L$32" lockText="1" noThreeD="1"/>
</file>

<file path=xl/ctrlProps/ctrlProp11.xml><?xml version="1.0" encoding="utf-8"?>
<formControlPr xmlns="http://schemas.microsoft.com/office/spreadsheetml/2009/9/main" objectType="CheckBox" checked="Checked" fmlaLink="$J$33" lockText="1" noThreeD="1"/>
</file>

<file path=xl/ctrlProps/ctrlProp12.xml><?xml version="1.0" encoding="utf-8"?>
<formControlPr xmlns="http://schemas.microsoft.com/office/spreadsheetml/2009/9/main" objectType="CheckBox" checked="Checked" fmlaLink="$L$33" lockText="1" noThreeD="1"/>
</file>

<file path=xl/ctrlProps/ctrlProp13.xml><?xml version="1.0" encoding="utf-8"?>
<formControlPr xmlns="http://schemas.microsoft.com/office/spreadsheetml/2009/9/main" objectType="CheckBox" checked="Checked" fmlaLink="$J$34" lockText="1" noThreeD="1"/>
</file>

<file path=xl/ctrlProps/ctrlProp14.xml><?xml version="1.0" encoding="utf-8"?>
<formControlPr xmlns="http://schemas.microsoft.com/office/spreadsheetml/2009/9/main" objectType="CheckBox" checked="Checked" fmlaLink="$L$34" lockText="1" noThreeD="1"/>
</file>

<file path=xl/ctrlProps/ctrlProp15.xml><?xml version="1.0" encoding="utf-8"?>
<formControlPr xmlns="http://schemas.microsoft.com/office/spreadsheetml/2009/9/main" objectType="Drop" dropStyle="combo" dx="16" fmlaLink="$J$35" fmlaRange="$W$35:$W$37" noThreeD="1" sel="1" val="0"/>
</file>

<file path=xl/ctrlProps/ctrlProp16.xml><?xml version="1.0" encoding="utf-8"?>
<formControlPr xmlns="http://schemas.microsoft.com/office/spreadsheetml/2009/9/main" objectType="Drop" dropStyle="combo" dx="16" fmlaLink="$J$36" fmlaRange="$W$35:$W$37" noThreeD="1" sel="1" val="0"/>
</file>

<file path=xl/ctrlProps/ctrlProp17.xml><?xml version="1.0" encoding="utf-8"?>
<formControlPr xmlns="http://schemas.microsoft.com/office/spreadsheetml/2009/9/main" objectType="Drop" dropStyle="combo" dx="16" fmlaLink="$J$37" fmlaRange="$W$35:$W$37" noThreeD="1" sel="1" val="0"/>
</file>

<file path=xl/ctrlProps/ctrlProp2.xml><?xml version="1.0" encoding="utf-8"?>
<formControlPr xmlns="http://schemas.microsoft.com/office/spreadsheetml/2009/9/main" objectType="CheckBox" checked="Checked" fmlaLink="$I$24" lockText="1" noThreeD="1"/>
</file>

<file path=xl/ctrlProps/ctrlProp3.xml><?xml version="1.0" encoding="utf-8"?>
<formControlPr xmlns="http://schemas.microsoft.com/office/spreadsheetml/2009/9/main" objectType="CheckBox" checked="Checked" fmlaLink="$I$25" lockText="1" noThreeD="1"/>
</file>

<file path=xl/ctrlProps/ctrlProp4.xml><?xml version="1.0" encoding="utf-8"?>
<formControlPr xmlns="http://schemas.microsoft.com/office/spreadsheetml/2009/9/main" objectType="CheckBox" checked="Checked" fmlaLink="$I$26" lockText="1" noThreeD="1"/>
</file>

<file path=xl/ctrlProps/ctrlProp5.xml><?xml version="1.0" encoding="utf-8"?>
<formControlPr xmlns="http://schemas.microsoft.com/office/spreadsheetml/2009/9/main" objectType="CheckBox" checked="Checked" fmlaLink="$J$30" lockText="1" noThreeD="1"/>
</file>

<file path=xl/ctrlProps/ctrlProp6.xml><?xml version="1.0" encoding="utf-8"?>
<formControlPr xmlns="http://schemas.microsoft.com/office/spreadsheetml/2009/9/main" objectType="CheckBox" checked="Checked" fmlaLink="$L$30" lockText="1" noThreeD="1"/>
</file>

<file path=xl/ctrlProps/ctrlProp7.xml><?xml version="1.0" encoding="utf-8"?>
<formControlPr xmlns="http://schemas.microsoft.com/office/spreadsheetml/2009/9/main" objectType="CheckBox" checked="Checked" fmlaLink="$J$31" lockText="1" noThreeD="1"/>
</file>

<file path=xl/ctrlProps/ctrlProp8.xml><?xml version="1.0" encoding="utf-8"?>
<formControlPr xmlns="http://schemas.microsoft.com/office/spreadsheetml/2009/9/main" objectType="CheckBox" checked="Checked" fmlaLink="$L$31" lockText="1" noThreeD="1"/>
</file>

<file path=xl/ctrlProps/ctrlProp9.xml><?xml version="1.0" encoding="utf-8"?>
<formControlPr xmlns="http://schemas.microsoft.com/office/spreadsheetml/2009/9/main" objectType="CheckBox" checked="Checked" fmlaLink="$J$32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</xdr:row>
      <xdr:rowOff>95250</xdr:rowOff>
    </xdr:from>
    <xdr:to>
      <xdr:col>13</xdr:col>
      <xdr:colOff>0</xdr:colOff>
      <xdr:row>6</xdr:row>
      <xdr:rowOff>142876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" y="771525"/>
          <a:ext cx="7324725" cy="6191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+mn-lt"/>
            </a:rPr>
            <a:t>The following calculator</a:t>
          </a:r>
          <a:r>
            <a:rPr lang="en-GB" sz="1100" baseline="0">
              <a:latin typeface="+mn-lt"/>
            </a:rPr>
            <a:t> and tables</a:t>
          </a:r>
          <a:r>
            <a:rPr lang="en-GB" sz="1100">
              <a:latin typeface="+mn-lt"/>
            </a:rPr>
            <a:t> illustrate the indicative income levels that could be expected by an average pharmacy in £ (sterling) for Essential Services provided under the Community Pharmacy Contractual Framework. These figures are based on the imposition for 2016/17 and 2017/18 and are outlined in relation to dispensing volume. </a:t>
          </a:r>
        </a:p>
      </xdr:txBody>
    </xdr:sp>
    <xdr:clientData/>
  </xdr:twoCellAnchor>
  <xdr:twoCellAnchor>
    <xdr:from>
      <xdr:col>0</xdr:col>
      <xdr:colOff>590550</xdr:colOff>
      <xdr:row>7</xdr:row>
      <xdr:rowOff>28575</xdr:rowOff>
    </xdr:from>
    <xdr:to>
      <xdr:col>13</xdr:col>
      <xdr:colOff>19050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0550" y="1466850"/>
          <a:ext cx="9086850" cy="47625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+mn-lt"/>
            </a:rPr>
            <a:t>The calculator</a:t>
          </a:r>
          <a:r>
            <a:rPr lang="en-GB" sz="1100" baseline="0">
              <a:latin typeface="+mn-lt"/>
            </a:rPr>
            <a:t> allows you to enter a figure for monthly item volume, from which an indicative monthly income is calculated.  The values for Dec-16 and Apr-17 are compared to Nov-16, which is the last month of the existing funding arrangement.</a:t>
          </a:r>
          <a:endParaRPr lang="en-GB" sz="1100">
            <a:latin typeface="+mn-lt"/>
          </a:endParaRPr>
        </a:p>
      </xdr:txBody>
    </xdr:sp>
    <xdr:clientData/>
  </xdr:twoCellAnchor>
  <xdr:twoCellAnchor editAs="oneCell">
    <xdr:from>
      <xdr:col>12</xdr:col>
      <xdr:colOff>200025</xdr:colOff>
      <xdr:row>22</xdr:row>
      <xdr:rowOff>180975</xdr:rowOff>
    </xdr:from>
    <xdr:to>
      <xdr:col>12</xdr:col>
      <xdr:colOff>1324610</xdr:colOff>
      <xdr:row>26</xdr:row>
      <xdr:rowOff>57785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7" t="5808" r="5226" b="4100"/>
        <a:stretch/>
      </xdr:blipFill>
      <xdr:spPr bwMode="auto">
        <a:xfrm>
          <a:off x="8543925" y="5314950"/>
          <a:ext cx="1124585" cy="8102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1464945</xdr:colOff>
      <xdr:row>22</xdr:row>
      <xdr:rowOff>231140</xdr:rowOff>
    </xdr:from>
    <xdr:to>
      <xdr:col>12</xdr:col>
      <xdr:colOff>2415540</xdr:colOff>
      <xdr:row>26</xdr:row>
      <xdr:rowOff>55880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1" t="4620" r="5894" b="11646"/>
        <a:stretch/>
      </xdr:blipFill>
      <xdr:spPr bwMode="auto">
        <a:xfrm>
          <a:off x="9808845" y="5365115"/>
          <a:ext cx="1283970" cy="7581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21</xdr:row>
          <xdr:rowOff>266700</xdr:rowOff>
        </xdr:from>
        <xdr:to>
          <xdr:col>8</xdr:col>
          <xdr:colOff>990600</xdr:colOff>
          <xdr:row>23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22</xdr:row>
          <xdr:rowOff>295275</xdr:rowOff>
        </xdr:from>
        <xdr:to>
          <xdr:col>8</xdr:col>
          <xdr:colOff>904875</xdr:colOff>
          <xdr:row>24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23</xdr:row>
          <xdr:rowOff>257175</xdr:rowOff>
        </xdr:from>
        <xdr:to>
          <xdr:col>8</xdr:col>
          <xdr:colOff>1000125</xdr:colOff>
          <xdr:row>25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24</xdr:row>
          <xdr:rowOff>247650</xdr:rowOff>
        </xdr:from>
        <xdr:to>
          <xdr:col>8</xdr:col>
          <xdr:colOff>1028700</xdr:colOff>
          <xdr:row>26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29</xdr:row>
          <xdr:rowOff>28575</xdr:rowOff>
        </xdr:from>
        <xdr:to>
          <xdr:col>10</xdr:col>
          <xdr:colOff>552450</xdr:colOff>
          <xdr:row>29</xdr:row>
          <xdr:rowOff>485775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809625</xdr:colOff>
          <xdr:row>29</xdr:row>
          <xdr:rowOff>38100</xdr:rowOff>
        </xdr:from>
        <xdr:to>
          <xdr:col>12</xdr:col>
          <xdr:colOff>219075</xdr:colOff>
          <xdr:row>29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30</xdr:row>
          <xdr:rowOff>19050</xdr:rowOff>
        </xdr:from>
        <xdr:to>
          <xdr:col>10</xdr:col>
          <xdr:colOff>457200</xdr:colOff>
          <xdr:row>30</xdr:row>
          <xdr:rowOff>485775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809625</xdr:colOff>
          <xdr:row>30</xdr:row>
          <xdr:rowOff>9525</xdr:rowOff>
        </xdr:from>
        <xdr:to>
          <xdr:col>12</xdr:col>
          <xdr:colOff>266700</xdr:colOff>
          <xdr:row>30</xdr:row>
          <xdr:rowOff>485775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31</xdr:row>
          <xdr:rowOff>28575</xdr:rowOff>
        </xdr:from>
        <xdr:to>
          <xdr:col>10</xdr:col>
          <xdr:colOff>200025</xdr:colOff>
          <xdr:row>31</xdr:row>
          <xdr:rowOff>523875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800100</xdr:colOff>
          <xdr:row>31</xdr:row>
          <xdr:rowOff>9525</xdr:rowOff>
        </xdr:from>
        <xdr:to>
          <xdr:col>12</xdr:col>
          <xdr:colOff>142875</xdr:colOff>
          <xdr:row>32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32</xdr:row>
          <xdr:rowOff>19050</xdr:rowOff>
        </xdr:from>
        <xdr:to>
          <xdr:col>10</xdr:col>
          <xdr:colOff>171450</xdr:colOff>
          <xdr:row>32</xdr:row>
          <xdr:rowOff>523875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800100</xdr:colOff>
          <xdr:row>31</xdr:row>
          <xdr:rowOff>542925</xdr:rowOff>
        </xdr:from>
        <xdr:to>
          <xdr:col>12</xdr:col>
          <xdr:colOff>123825</xdr:colOff>
          <xdr:row>33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32</xdr:row>
          <xdr:rowOff>523875</xdr:rowOff>
        </xdr:from>
        <xdr:to>
          <xdr:col>10</xdr:col>
          <xdr:colOff>219075</xdr:colOff>
          <xdr:row>34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800100</xdr:colOff>
          <xdr:row>33</xdr:row>
          <xdr:rowOff>9525</xdr:rowOff>
        </xdr:from>
        <xdr:to>
          <xdr:col>12</xdr:col>
          <xdr:colOff>190500</xdr:colOff>
          <xdr:row>33</xdr:row>
          <xdr:rowOff>523875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34</xdr:row>
          <xdr:rowOff>114300</xdr:rowOff>
        </xdr:from>
        <xdr:to>
          <xdr:col>12</xdr:col>
          <xdr:colOff>76200</xdr:colOff>
          <xdr:row>34</xdr:row>
          <xdr:rowOff>371475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35</xdr:row>
          <xdr:rowOff>123825</xdr:rowOff>
        </xdr:from>
        <xdr:to>
          <xdr:col>12</xdr:col>
          <xdr:colOff>76200</xdr:colOff>
          <xdr:row>35</xdr:row>
          <xdr:rowOff>381000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828675</xdr:colOff>
          <xdr:row>36</xdr:row>
          <xdr:rowOff>152400</xdr:rowOff>
        </xdr:from>
        <xdr:to>
          <xdr:col>12</xdr:col>
          <xdr:colOff>85725</xdr:colOff>
          <xdr:row>36</xdr:row>
          <xdr:rowOff>409575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242887</xdr:colOff>
      <xdr:row>40</xdr:row>
      <xdr:rowOff>97365</xdr:rowOff>
    </xdr:from>
    <xdr:to>
      <xdr:col>17</xdr:col>
      <xdr:colOff>304800</xdr:colOff>
      <xdr:row>60</xdr:row>
      <xdr:rowOff>125940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igby/AppData/Local/Microsoft/Windows/INetCache/Content.Outlook/V5Y8V9MT/Forecasting(toMay16itemsApr16costs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- drug tariff"/>
      <sheetName val="Data"/>
      <sheetName val="PrescriptionsForecast"/>
      <sheetName val="MURForecast"/>
      <sheetName val="MURForecast2"/>
      <sheetName val="Ex &amp; CP"/>
      <sheetName val="PreRegTraineesForecast"/>
      <sheetName val="Forecast"/>
      <sheetName val="ContractSum"/>
      <sheetName val="Historic"/>
      <sheetName val="Ts_inc forecast"/>
      <sheetName val="AUR Stoma split"/>
      <sheetName val="Sheet1"/>
      <sheetName val="Items an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Financial Year Actual/Forecast Accruals Basis</v>
          </cell>
        </row>
        <row r="14">
          <cell r="E14" t="str">
            <v>2005/6 Actual</v>
          </cell>
        </row>
        <row r="15">
          <cell r="E15" t="str">
            <v>2005/6 Actual</v>
          </cell>
        </row>
        <row r="16">
          <cell r="E16" t="str">
            <v>2005/6 Actual</v>
          </cell>
        </row>
        <row r="17">
          <cell r="E17" t="str">
            <v>2005/6 Actual</v>
          </cell>
        </row>
        <row r="18">
          <cell r="E18" t="str">
            <v>2005/6 Actual</v>
          </cell>
        </row>
        <row r="19">
          <cell r="E19" t="str">
            <v>2005/6 Actual</v>
          </cell>
        </row>
        <row r="20">
          <cell r="E20" t="str">
            <v>2005/6 Actual</v>
          </cell>
        </row>
        <row r="21">
          <cell r="E21" t="str">
            <v>2005/6 Actual</v>
          </cell>
        </row>
        <row r="22">
          <cell r="E22" t="str">
            <v>2005/6 Actual</v>
          </cell>
        </row>
        <row r="23">
          <cell r="E23" t="str">
            <v>2005/6 Actual</v>
          </cell>
        </row>
        <row r="24">
          <cell r="E24" t="str">
            <v>2005/6 Actual</v>
          </cell>
        </row>
        <row r="25">
          <cell r="E25" t="str">
            <v>2005/6 Actual</v>
          </cell>
        </row>
        <row r="26">
          <cell r="E26" t="str">
            <v>2006/7 Actual</v>
          </cell>
        </row>
        <row r="27">
          <cell r="E27" t="str">
            <v>2006/7 Actual</v>
          </cell>
        </row>
        <row r="28">
          <cell r="E28" t="str">
            <v>2006/7 Actual</v>
          </cell>
        </row>
        <row r="29">
          <cell r="E29" t="str">
            <v>2006/7 Actual</v>
          </cell>
        </row>
        <row r="30">
          <cell r="E30" t="str">
            <v>2006/7 Actual</v>
          </cell>
        </row>
        <row r="31">
          <cell r="E31" t="str">
            <v>2006/7 Actual</v>
          </cell>
        </row>
        <row r="32">
          <cell r="E32" t="str">
            <v>2006/7 Actual</v>
          </cell>
        </row>
        <row r="33">
          <cell r="E33" t="str">
            <v>2006/7 Actual</v>
          </cell>
        </row>
        <row r="34">
          <cell r="E34" t="str">
            <v>2006/7 Actual</v>
          </cell>
        </row>
        <row r="35">
          <cell r="E35" t="str">
            <v>2006/7 Actual</v>
          </cell>
        </row>
        <row r="36">
          <cell r="E36" t="str">
            <v>2006/7 Actual</v>
          </cell>
        </row>
        <row r="37">
          <cell r="E37" t="str">
            <v>2006/7 Actual</v>
          </cell>
        </row>
        <row r="38">
          <cell r="E38" t="str">
            <v>2007/8 Actual</v>
          </cell>
        </row>
        <row r="39">
          <cell r="E39" t="str">
            <v>2007/8 Actual</v>
          </cell>
        </row>
        <row r="40">
          <cell r="E40" t="str">
            <v>2007/8 Actual</v>
          </cell>
        </row>
        <row r="41">
          <cell r="E41" t="str">
            <v>2007/8 Actual</v>
          </cell>
        </row>
        <row r="42">
          <cell r="E42" t="str">
            <v>2007/8 Actual</v>
          </cell>
        </row>
        <row r="43">
          <cell r="E43" t="str">
            <v>2007/8 Actual</v>
          </cell>
        </row>
        <row r="44">
          <cell r="E44" t="str">
            <v>2007/8 Actual</v>
          </cell>
        </row>
        <row r="45">
          <cell r="E45" t="str">
            <v>2007/8 Actual</v>
          </cell>
        </row>
        <row r="46">
          <cell r="E46" t="str">
            <v>2007/8 Actual</v>
          </cell>
        </row>
        <row r="47">
          <cell r="E47" t="str">
            <v>2007/8 Actual</v>
          </cell>
        </row>
        <row r="48">
          <cell r="E48" t="str">
            <v>2007/8 Actual</v>
          </cell>
        </row>
        <row r="49">
          <cell r="E49" t="str">
            <v>2007/8 Actual</v>
          </cell>
        </row>
        <row r="50">
          <cell r="E50" t="str">
            <v>2008/9 Actual</v>
          </cell>
        </row>
        <row r="51">
          <cell r="E51" t="str">
            <v>2008/9 Actual</v>
          </cell>
        </row>
        <row r="52">
          <cell r="E52" t="str">
            <v>2008/9 Actual</v>
          </cell>
        </row>
        <row r="53">
          <cell r="E53" t="str">
            <v>2008/9 Actual</v>
          </cell>
        </row>
        <row r="54">
          <cell r="E54" t="str">
            <v>2008/9 Actual</v>
          </cell>
        </row>
        <row r="55">
          <cell r="E55" t="str">
            <v>2008/9 Actual</v>
          </cell>
        </row>
        <row r="56">
          <cell r="E56" t="str">
            <v>2008/9 Actual</v>
          </cell>
        </row>
        <row r="57">
          <cell r="E57" t="str">
            <v>2008/9 Actual</v>
          </cell>
        </row>
        <row r="58">
          <cell r="E58" t="str">
            <v>2008/9 Actual</v>
          </cell>
        </row>
        <row r="59">
          <cell r="E59" t="str">
            <v>2008/9 Actual</v>
          </cell>
        </row>
        <row r="60">
          <cell r="E60" t="str">
            <v>2008/9 Actual</v>
          </cell>
        </row>
        <row r="61">
          <cell r="E61" t="str">
            <v>2008/9 Actual</v>
          </cell>
        </row>
        <row r="62">
          <cell r="E62" t="str">
            <v>2009/10 Actual</v>
          </cell>
        </row>
        <row r="63">
          <cell r="E63" t="str">
            <v>2009/10 Actual</v>
          </cell>
        </row>
        <row r="64">
          <cell r="E64" t="str">
            <v>2009/10 Actual</v>
          </cell>
        </row>
        <row r="65">
          <cell r="E65" t="str">
            <v>2009/10 Actual</v>
          </cell>
        </row>
        <row r="66">
          <cell r="E66" t="str">
            <v>2009/10 Actual</v>
          </cell>
        </row>
        <row r="67">
          <cell r="E67" t="str">
            <v>2009/10 Actual</v>
          </cell>
        </row>
        <row r="68">
          <cell r="E68" t="str">
            <v>2009/10 Actual</v>
          </cell>
        </row>
        <row r="69">
          <cell r="E69" t="str">
            <v>2009/10 Actual</v>
          </cell>
        </row>
        <row r="70">
          <cell r="E70" t="str">
            <v>2009/10 Actual</v>
          </cell>
        </row>
        <row r="71">
          <cell r="E71" t="str">
            <v>2009/10 Actual</v>
          </cell>
        </row>
        <row r="72">
          <cell r="E72" t="str">
            <v>2009/10 Actual</v>
          </cell>
        </row>
        <row r="73">
          <cell r="E73" t="str">
            <v>2009/10 Actual</v>
          </cell>
        </row>
        <row r="74">
          <cell r="E74" t="str">
            <v>2010/11 Actual</v>
          </cell>
        </row>
        <row r="75">
          <cell r="E75" t="str">
            <v>2010/11 Actual</v>
          </cell>
        </row>
        <row r="76">
          <cell r="E76" t="str">
            <v>2010/11 Actual</v>
          </cell>
        </row>
        <row r="77">
          <cell r="E77" t="str">
            <v>2010/11 Actual</v>
          </cell>
        </row>
        <row r="78">
          <cell r="E78" t="str">
            <v>2010/11 Actual</v>
          </cell>
        </row>
        <row r="79">
          <cell r="E79" t="str">
            <v>2010/11 Actual</v>
          </cell>
        </row>
        <row r="80">
          <cell r="E80" t="str">
            <v>2010/11 Actual</v>
          </cell>
        </row>
        <row r="81">
          <cell r="E81" t="str">
            <v>2010/11 Actual</v>
          </cell>
        </row>
        <row r="82">
          <cell r="E82" t="str">
            <v>2010/11 Actual</v>
          </cell>
        </row>
        <row r="83">
          <cell r="E83" t="str">
            <v>2010/11 Actual</v>
          </cell>
        </row>
        <row r="84">
          <cell r="E84" t="str">
            <v>2010/11 Actual</v>
          </cell>
        </row>
        <row r="85">
          <cell r="E85" t="str">
            <v>2010/11 Actual</v>
          </cell>
        </row>
        <row r="86">
          <cell r="E86" t="str">
            <v>2011/12 Actual</v>
          </cell>
        </row>
        <row r="87">
          <cell r="E87" t="str">
            <v>2011/12 Actual</v>
          </cell>
        </row>
        <row r="88">
          <cell r="E88" t="str">
            <v>2011/12 Actual</v>
          </cell>
        </row>
        <row r="89">
          <cell r="E89" t="str">
            <v>2011/12 Actual</v>
          </cell>
        </row>
        <row r="90">
          <cell r="E90" t="str">
            <v>2011/12 Actual</v>
          </cell>
        </row>
        <row r="91">
          <cell r="E91" t="str">
            <v>2011/12 Actual</v>
          </cell>
        </row>
        <row r="92">
          <cell r="E92" t="str">
            <v>2011/12 Actual</v>
          </cell>
        </row>
        <row r="93">
          <cell r="E93" t="str">
            <v>2011/12 Actual</v>
          </cell>
        </row>
        <row r="94">
          <cell r="E94" t="str">
            <v>2011/12 Actual</v>
          </cell>
        </row>
        <row r="95">
          <cell r="E95" t="str">
            <v>2011/12 Actual</v>
          </cell>
        </row>
        <row r="96">
          <cell r="E96" t="str">
            <v>2011/12 Actual</v>
          </cell>
        </row>
        <row r="97">
          <cell r="E97" t="str">
            <v>2011/12 Actual</v>
          </cell>
        </row>
        <row r="98">
          <cell r="E98" t="str">
            <v>2012/13 Actual</v>
          </cell>
        </row>
        <row r="99">
          <cell r="E99" t="str">
            <v>2012/13 Actual</v>
          </cell>
        </row>
        <row r="100">
          <cell r="E100" t="str">
            <v>2012/13 Actual</v>
          </cell>
        </row>
        <row r="101">
          <cell r="E101" t="str">
            <v>2012/13 Actual</v>
          </cell>
        </row>
        <row r="102">
          <cell r="E102" t="str">
            <v>2012/13 Actual</v>
          </cell>
        </row>
        <row r="103">
          <cell r="E103" t="str">
            <v>2012/13 Actual</v>
          </cell>
        </row>
        <row r="104">
          <cell r="E104" t="str">
            <v>2012/13 Actual</v>
          </cell>
        </row>
        <row r="105">
          <cell r="E105" t="str">
            <v>2012/13 Actual</v>
          </cell>
        </row>
        <row r="106">
          <cell r="E106" t="str">
            <v>2012/13 Actual</v>
          </cell>
        </row>
        <row r="107">
          <cell r="E107" t="str">
            <v>2012/13 Actual</v>
          </cell>
        </row>
        <row r="108">
          <cell r="E108" t="str">
            <v>2012/13 Actual</v>
          </cell>
        </row>
        <row r="109">
          <cell r="E109" t="str">
            <v>2012/13 Actual</v>
          </cell>
        </row>
        <row r="110">
          <cell r="E110" t="str">
            <v>2013/14 Actual</v>
          </cell>
        </row>
        <row r="111">
          <cell r="E111" t="str">
            <v>2013/14 Actual</v>
          </cell>
        </row>
        <row r="112">
          <cell r="E112" t="str">
            <v>2013/14 Actual</v>
          </cell>
        </row>
        <row r="113">
          <cell r="E113" t="str">
            <v>2013/14 Actual</v>
          </cell>
        </row>
        <row r="114">
          <cell r="E114" t="str">
            <v>2013/14 Actual</v>
          </cell>
        </row>
        <row r="115">
          <cell r="E115" t="str">
            <v>2013/14 Actual</v>
          </cell>
        </row>
        <row r="116">
          <cell r="E116" t="str">
            <v>2013/14 Actual</v>
          </cell>
        </row>
        <row r="117">
          <cell r="E117" t="str">
            <v>2013/14 Actual</v>
          </cell>
        </row>
        <row r="118">
          <cell r="E118" t="str">
            <v>2013/14 Actual</v>
          </cell>
        </row>
        <row r="119">
          <cell r="E119" t="str">
            <v>2013/14 Actual</v>
          </cell>
        </row>
        <row r="120">
          <cell r="E120" t="str">
            <v>2013/14 Actual</v>
          </cell>
        </row>
        <row r="121">
          <cell r="E121" t="str">
            <v>2013/14 Actual</v>
          </cell>
        </row>
        <row r="122">
          <cell r="E122" t="str">
            <v>2014/15 Actual</v>
          </cell>
        </row>
        <row r="123">
          <cell r="E123" t="str">
            <v>2014/15 Actual</v>
          </cell>
        </row>
        <row r="124">
          <cell r="E124" t="str">
            <v>2014/15 Actual</v>
          </cell>
        </row>
        <row r="125">
          <cell r="E125" t="str">
            <v>2014/15 Actual</v>
          </cell>
        </row>
        <row r="126">
          <cell r="E126" t="str">
            <v>2014/15 Actual</v>
          </cell>
        </row>
        <row r="127">
          <cell r="E127" t="str">
            <v>2014/15 Actual</v>
          </cell>
        </row>
        <row r="128">
          <cell r="E128" t="str">
            <v>2014/15 Actual</v>
          </cell>
        </row>
        <row r="129">
          <cell r="E129" t="str">
            <v>2014/15 Actual</v>
          </cell>
        </row>
        <row r="130">
          <cell r="E130" t="str">
            <v>2014/15 Actual</v>
          </cell>
        </row>
        <row r="131">
          <cell r="E131" t="str">
            <v>2014/15 Actual</v>
          </cell>
        </row>
        <row r="132">
          <cell r="E132" t="str">
            <v>2014/15 Actual</v>
          </cell>
        </row>
        <row r="133">
          <cell r="E133" t="str">
            <v>2014/15 Actual</v>
          </cell>
        </row>
        <row r="134">
          <cell r="E134" t="str">
            <v>2015/16 Actual</v>
          </cell>
        </row>
        <row r="135">
          <cell r="E135" t="str">
            <v>2015/16 Actual</v>
          </cell>
        </row>
        <row r="136">
          <cell r="E136" t="str">
            <v>2015/16 Actual</v>
          </cell>
        </row>
        <row r="137">
          <cell r="E137" t="str">
            <v>2015/16 Actual</v>
          </cell>
        </row>
        <row r="138">
          <cell r="E138" t="str">
            <v>2015/16 Actual</v>
          </cell>
        </row>
        <row r="139">
          <cell r="E139" t="str">
            <v>2015/16 Actual</v>
          </cell>
        </row>
        <row r="140">
          <cell r="E140" t="str">
            <v>2015/16 Actual</v>
          </cell>
        </row>
        <row r="141">
          <cell r="E141" t="str">
            <v>2015/16 Actual</v>
          </cell>
        </row>
        <row r="142">
          <cell r="E142" t="str">
            <v>2015/16 Actual</v>
          </cell>
        </row>
        <row r="143">
          <cell r="E143" t="str">
            <v>2015/16 Actual</v>
          </cell>
        </row>
        <row r="144">
          <cell r="E144" t="str">
            <v>2015/16 Actual</v>
          </cell>
        </row>
        <row r="145">
          <cell r="E145" t="str">
            <v>2015/16 Actual</v>
          </cell>
        </row>
        <row r="146">
          <cell r="E146" t="str">
            <v>2016/17 Actual</v>
          </cell>
        </row>
        <row r="147">
          <cell r="E147" t="str">
            <v>2016/17 Forecast</v>
          </cell>
        </row>
        <row r="148">
          <cell r="E148" t="str">
            <v>2016/17 Forecast</v>
          </cell>
        </row>
        <row r="149">
          <cell r="E149" t="str">
            <v>2016/17 Forecast</v>
          </cell>
        </row>
        <row r="150">
          <cell r="E150" t="str">
            <v>2016/17 Forecast</v>
          </cell>
        </row>
        <row r="151">
          <cell r="E151" t="str">
            <v>2016/17 Forecast</v>
          </cell>
        </row>
        <row r="152">
          <cell r="E152" t="str">
            <v>2016/17 Forecast</v>
          </cell>
        </row>
        <row r="153">
          <cell r="E153" t="str">
            <v>2016/17 Forecast</v>
          </cell>
        </row>
        <row r="154">
          <cell r="E154" t="str">
            <v>2016/17 Forecast</v>
          </cell>
        </row>
        <row r="155">
          <cell r="E155" t="str">
            <v>2016/17 Forecast</v>
          </cell>
        </row>
        <row r="156">
          <cell r="E156" t="str">
            <v>2016/17 Forecast</v>
          </cell>
        </row>
        <row r="157">
          <cell r="E157" t="str">
            <v>2016/17 Forecast</v>
          </cell>
        </row>
        <row r="158">
          <cell r="E158" t="str">
            <v>2017/18 Forecast</v>
          </cell>
        </row>
        <row r="159">
          <cell r="E159" t="str">
            <v>2017/18 Forecast</v>
          </cell>
        </row>
        <row r="160">
          <cell r="E160" t="str">
            <v>2017/18 Forecast</v>
          </cell>
        </row>
        <row r="161">
          <cell r="E161" t="str">
            <v>2017/18 Forecast</v>
          </cell>
        </row>
        <row r="162">
          <cell r="E162" t="str">
            <v>2017/18 Forecast</v>
          </cell>
        </row>
        <row r="163">
          <cell r="E163" t="str">
            <v>2017/18 Forecast</v>
          </cell>
        </row>
        <row r="164">
          <cell r="E164" t="str">
            <v>2017/18 Forecast</v>
          </cell>
        </row>
        <row r="165">
          <cell r="E165" t="str">
            <v>2017/18 Forecast</v>
          </cell>
        </row>
        <row r="166">
          <cell r="E166" t="str">
            <v>2017/18 Forecast</v>
          </cell>
        </row>
        <row r="167">
          <cell r="E167" t="str">
            <v>2017/18 Forecast</v>
          </cell>
        </row>
        <row r="168">
          <cell r="E168" t="str">
            <v>2017/18 Forecast</v>
          </cell>
        </row>
        <row r="169">
          <cell r="E169" t="str">
            <v>2017/18 Forecast</v>
          </cell>
        </row>
        <row r="170">
          <cell r="E170" t="str">
            <v>2018/19 Forecast</v>
          </cell>
        </row>
        <row r="171">
          <cell r="E171" t="str">
            <v>2018/19 Forecast</v>
          </cell>
        </row>
        <row r="172">
          <cell r="E172" t="str">
            <v>2018/19 Forecast</v>
          </cell>
        </row>
        <row r="173">
          <cell r="E173" t="str">
            <v>2018/19 Forecast</v>
          </cell>
        </row>
        <row r="174">
          <cell r="E174" t="str">
            <v>2018/19 Forecast</v>
          </cell>
        </row>
        <row r="175">
          <cell r="E175" t="str">
            <v>2018/19 Forecast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3:M26"/>
  <sheetViews>
    <sheetView workbookViewId="0">
      <selection activeCell="B25" sqref="B25"/>
    </sheetView>
    <sheetView tabSelected="1" workbookViewId="1"/>
  </sheetViews>
  <sheetFormatPr defaultColWidth="9.140625" defaultRowHeight="15" x14ac:dyDescent="0.25"/>
  <cols>
    <col min="1" max="1" width="9.140625" style="1"/>
    <col min="2" max="2" width="14.28515625" style="1" customWidth="1"/>
    <col min="3" max="12" width="9.140625" style="1"/>
    <col min="13" max="13" width="42.28515625" style="1" customWidth="1"/>
    <col min="14" max="16384" width="9.140625" style="1"/>
  </cols>
  <sheetData>
    <row r="3" spans="2:13" ht="21" x14ac:dyDescent="0.25">
      <c r="B3" s="142" t="s">
        <v>74</v>
      </c>
    </row>
    <row r="9" spans="2:13" s="92" customFormat="1" x14ac:dyDescent="0.25"/>
    <row r="10" spans="2:13" s="92" customFormat="1" x14ac:dyDescent="0.25"/>
    <row r="11" spans="2:13" s="92" customFormat="1" x14ac:dyDescent="0.25"/>
    <row r="12" spans="2:13" ht="25.5" customHeight="1" x14ac:dyDescent="0.25">
      <c r="B12" s="205" t="s">
        <v>88</v>
      </c>
      <c r="C12" s="133" t="s">
        <v>89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2:13" ht="27.75" customHeight="1" x14ac:dyDescent="0.25">
      <c r="B13" s="17"/>
      <c r="C13" s="411" t="s">
        <v>194</v>
      </c>
      <c r="D13" s="411"/>
      <c r="E13" s="411"/>
      <c r="F13" s="411"/>
      <c r="G13" s="411"/>
      <c r="H13" s="411"/>
      <c r="I13" s="411"/>
      <c r="J13" s="411"/>
      <c r="K13" s="411"/>
      <c r="L13" s="411"/>
      <c r="M13" s="411"/>
    </row>
    <row r="14" spans="2:13" ht="21.75" customHeight="1" x14ac:dyDescent="0.25">
      <c r="B14" s="91"/>
      <c r="C14" s="133" t="s">
        <v>85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2:13" ht="21.75" customHeight="1" x14ac:dyDescent="0.25">
      <c r="B15" s="91"/>
      <c r="C15" s="411" t="s">
        <v>195</v>
      </c>
      <c r="D15" s="411"/>
      <c r="E15" s="411"/>
      <c r="F15" s="411"/>
      <c r="G15" s="411"/>
      <c r="H15" s="411"/>
      <c r="I15" s="411"/>
      <c r="J15" s="411"/>
      <c r="K15" s="411"/>
      <c r="L15" s="411"/>
      <c r="M15" s="411"/>
    </row>
    <row r="16" spans="2:13" s="92" customFormat="1" ht="21.75" customHeight="1" x14ac:dyDescent="0.25">
      <c r="B16" s="9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</row>
    <row r="17" spans="1:13" ht="27" customHeight="1" x14ac:dyDescent="0.25">
      <c r="B17" s="91"/>
      <c r="C17" s="411" t="s">
        <v>22</v>
      </c>
      <c r="D17" s="411"/>
      <c r="E17" s="411"/>
      <c r="F17" s="411"/>
      <c r="G17" s="411"/>
      <c r="H17" s="411"/>
      <c r="I17" s="411"/>
      <c r="J17" s="411"/>
      <c r="K17" s="411"/>
      <c r="L17" s="411"/>
      <c r="M17" s="411"/>
    </row>
    <row r="18" spans="1:13" s="92" customFormat="1" ht="27" customHeight="1" x14ac:dyDescent="0.25">
      <c r="B18" s="91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</row>
    <row r="19" spans="1:13" s="92" customFormat="1" ht="27" customHeight="1" x14ac:dyDescent="0.25">
      <c r="B19" s="91"/>
      <c r="C19" s="133" t="s">
        <v>90</v>
      </c>
      <c r="D19" s="130"/>
      <c r="E19" s="130"/>
      <c r="F19" s="130"/>
      <c r="G19" s="112"/>
      <c r="H19" s="112"/>
      <c r="I19" s="112"/>
      <c r="J19" s="112"/>
      <c r="K19" s="112"/>
      <c r="L19" s="112"/>
      <c r="M19" s="112"/>
    </row>
    <row r="20" spans="1:13" s="92" customFormat="1" ht="32.25" customHeight="1" x14ac:dyDescent="0.25">
      <c r="B20" s="91"/>
      <c r="C20" s="133" t="s">
        <v>75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s="92" customFormat="1" x14ac:dyDescent="0.25">
      <c r="B21" s="91"/>
      <c r="C21" s="17"/>
      <c r="D21" s="133"/>
      <c r="E21" s="133"/>
      <c r="F21" s="133"/>
      <c r="G21" s="131"/>
      <c r="H21" s="130"/>
      <c r="I21" s="130"/>
      <c r="J21" s="112"/>
      <c r="K21" s="112"/>
      <c r="L21" s="112"/>
      <c r="M21" s="112"/>
    </row>
    <row r="22" spans="1:13" s="92" customFormat="1" ht="4.5" customHeight="1" x14ac:dyDescent="0.25">
      <c r="B22" s="91"/>
      <c r="C22" s="17"/>
      <c r="D22" s="112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13" s="92" customFormat="1" ht="21.75" customHeight="1" x14ac:dyDescent="0.25">
      <c r="B23" s="113"/>
      <c r="D23" s="132"/>
      <c r="E23" s="132"/>
      <c r="F23" s="132"/>
      <c r="G23" s="132"/>
      <c r="H23" s="132"/>
      <c r="I23" s="132"/>
      <c r="J23" s="132"/>
      <c r="K23" s="132"/>
      <c r="L23" s="132"/>
      <c r="M23" s="132"/>
    </row>
    <row r="24" spans="1:13" ht="21.75" customHeight="1" x14ac:dyDescent="0.25">
      <c r="A24" s="92"/>
      <c r="B24" s="141" t="s">
        <v>196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140"/>
    </row>
    <row r="25" spans="1:13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3" x14ac:dyDescent="0.2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</sheetData>
  <mergeCells count="3">
    <mergeCell ref="C15:M16"/>
    <mergeCell ref="C17:M18"/>
    <mergeCell ref="C13:M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7" tint="0.39997558519241921"/>
  </sheetPr>
  <dimension ref="A2:AP105"/>
  <sheetViews>
    <sheetView tabSelected="1" topLeftCell="E61" zoomScale="80" zoomScaleNormal="80" workbookViewId="0">
      <selection activeCell="V92" sqref="V92"/>
    </sheetView>
    <sheetView zoomScale="80" zoomScaleNormal="80" workbookViewId="1"/>
  </sheetViews>
  <sheetFormatPr defaultColWidth="9.140625" defaultRowHeight="15" x14ac:dyDescent="0.25"/>
  <cols>
    <col min="1" max="1" width="18.28515625" style="1" customWidth="1"/>
    <col min="2" max="2" width="4.7109375" style="1" customWidth="1"/>
    <col min="3" max="3" width="15" style="1" customWidth="1"/>
    <col min="4" max="4" width="21.85546875" style="1" customWidth="1"/>
    <col min="5" max="5" width="20.7109375" style="1" customWidth="1"/>
    <col min="6" max="6" width="21.42578125" style="1" customWidth="1"/>
    <col min="7" max="7" width="20" style="1" customWidth="1"/>
    <col min="8" max="8" width="19.5703125" style="1" customWidth="1"/>
    <col min="9" max="9" width="22.5703125" style="1" customWidth="1"/>
    <col min="10" max="10" width="14.140625" style="92" customWidth="1"/>
    <col min="11" max="11" width="14.140625" style="1" customWidth="1"/>
    <col min="12" max="12" width="14" style="1" customWidth="1"/>
    <col min="13" max="13" width="14.28515625" style="1" customWidth="1"/>
    <col min="14" max="14" width="12.140625" style="1" customWidth="1"/>
    <col min="15" max="15" width="11.5703125" style="1" customWidth="1"/>
    <col min="16" max="16" width="13.42578125" style="1" customWidth="1"/>
    <col min="17" max="17" width="15" style="1" customWidth="1"/>
    <col min="18" max="18" width="7.140625" style="1" customWidth="1"/>
    <col min="19" max="19" width="7.7109375" style="1" customWidth="1"/>
    <col min="20" max="20" width="8.140625" style="1" customWidth="1"/>
    <col min="21" max="21" width="15" style="1" customWidth="1"/>
    <col min="22" max="22" width="10.7109375" style="1" customWidth="1"/>
    <col min="23" max="23" width="7.140625" style="1" customWidth="1"/>
    <col min="24" max="24" width="17.42578125" style="1" customWidth="1"/>
    <col min="25" max="25" width="14.28515625" style="1" customWidth="1"/>
    <col min="26" max="26" width="14.85546875" style="1" customWidth="1"/>
    <col min="27" max="27" width="21.42578125" style="1" bestFit="1" customWidth="1"/>
    <col min="28" max="28" width="10.42578125" style="1" customWidth="1"/>
    <col min="29" max="29" width="17" style="1" bestFit="1" customWidth="1"/>
    <col min="30" max="30" width="10.85546875" style="1" bestFit="1" customWidth="1"/>
    <col min="31" max="16384" width="9.140625" style="1"/>
  </cols>
  <sheetData>
    <row r="2" spans="1:42" ht="30" customHeight="1" thickBot="1" x14ac:dyDescent="0.3">
      <c r="A2" s="137"/>
      <c r="B2" s="138" t="s">
        <v>71</v>
      </c>
      <c r="C2" s="139"/>
      <c r="D2" s="139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42" ht="15.75" thickTop="1" x14ac:dyDescent="0.25"/>
    <row r="4" spans="1:42" ht="28.5" customHeight="1" x14ac:dyDescent="0.25">
      <c r="D4" s="174"/>
      <c r="E4" s="175" t="s">
        <v>21</v>
      </c>
      <c r="F4" s="176">
        <v>7000</v>
      </c>
      <c r="J4" s="1"/>
      <c r="L4" s="156"/>
    </row>
    <row r="5" spans="1:42" ht="47.25" customHeight="1" x14ac:dyDescent="0.25">
      <c r="F5" s="180" t="s">
        <v>48</v>
      </c>
      <c r="H5" s="92"/>
      <c r="K5" s="213"/>
      <c r="L5" s="220"/>
      <c r="N5" s="92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92"/>
    </row>
    <row r="6" spans="1:42" s="92" customFormat="1" ht="26.25" customHeight="1" x14ac:dyDescent="0.3">
      <c r="D6" s="177"/>
      <c r="E6" s="178" t="s">
        <v>42</v>
      </c>
      <c r="F6" s="206" t="s">
        <v>192</v>
      </c>
      <c r="G6" s="491" t="str">
        <f>IF(F6="Yes","   Please enter 2015/16 payment details into the blue boxes below. These can be determined from your Schedule of Payments.","   No requirement to complete following blue boxes.")</f>
        <v xml:space="preserve">   No requirement to complete following blue boxes.</v>
      </c>
      <c r="M6" s="374"/>
      <c r="N6" s="374"/>
      <c r="O6" s="388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4"/>
      <c r="AP6" s="374"/>
    </row>
    <row r="7" spans="1:42" s="92" customFormat="1" ht="24" customHeight="1" x14ac:dyDescent="0.25">
      <c r="E7" s="1"/>
      <c r="F7" s="179" t="s">
        <v>43</v>
      </c>
      <c r="L7" s="212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89"/>
      <c r="AC7" s="389"/>
      <c r="AD7" s="389"/>
      <c r="AE7" s="389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</row>
    <row r="8" spans="1:42" s="92" customFormat="1" ht="15.75" customHeight="1" x14ac:dyDescent="0.25">
      <c r="K8" s="40"/>
      <c r="M8" s="374"/>
      <c r="N8" s="374"/>
      <c r="O8" s="374"/>
      <c r="P8" s="374"/>
      <c r="Q8" s="374"/>
      <c r="R8" s="374"/>
      <c r="S8" s="374"/>
      <c r="T8" s="390"/>
      <c r="U8" s="391"/>
      <c r="V8" s="391"/>
      <c r="W8" s="374"/>
      <c r="X8" s="374"/>
      <c r="Y8" s="374"/>
      <c r="Z8" s="374"/>
      <c r="AA8" s="374"/>
      <c r="AB8" s="389"/>
      <c r="AC8" s="389"/>
      <c r="AD8" s="389"/>
      <c r="AE8" s="389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</row>
    <row r="9" spans="1:42" s="92" customFormat="1" ht="26.25" customHeight="1" x14ac:dyDescent="0.25">
      <c r="D9" s="177"/>
      <c r="E9" s="178" t="s">
        <v>188</v>
      </c>
      <c r="F9" s="409"/>
      <c r="H9" s="177"/>
      <c r="I9" s="178" t="s">
        <v>189</v>
      </c>
      <c r="J9" s="410"/>
      <c r="M9" s="374"/>
      <c r="N9" s="374"/>
      <c r="O9" s="374"/>
      <c r="P9" s="374"/>
      <c r="Q9" s="374"/>
      <c r="R9" s="374"/>
      <c r="S9" s="374"/>
      <c r="T9" s="258"/>
      <c r="U9" s="392"/>
      <c r="V9" s="392"/>
      <c r="W9" s="393"/>
      <c r="X9" s="258"/>
      <c r="Y9" s="394"/>
      <c r="Z9" s="395"/>
      <c r="AA9" s="374"/>
      <c r="AB9" s="389"/>
      <c r="AC9" s="396"/>
      <c r="AD9" s="389"/>
      <c r="AE9" s="389"/>
      <c r="AF9" s="374"/>
      <c r="AG9" s="374"/>
      <c r="AH9" s="374"/>
      <c r="AI9" s="374"/>
      <c r="AJ9" s="374"/>
      <c r="AK9" s="374"/>
      <c r="AL9" s="374"/>
      <c r="AM9" s="374"/>
      <c r="AN9" s="374"/>
      <c r="AO9" s="374"/>
      <c r="AP9" s="374"/>
    </row>
    <row r="10" spans="1:42" s="40" customFormat="1" ht="16.5" customHeight="1" x14ac:dyDescent="0.25"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397"/>
      <c r="AA10" s="398"/>
      <c r="AB10" s="399"/>
      <c r="AC10" s="400"/>
      <c r="AD10" s="401"/>
      <c r="AE10" s="399"/>
      <c r="AF10" s="398"/>
      <c r="AG10" s="402"/>
      <c r="AH10" s="258"/>
      <c r="AI10" s="258"/>
      <c r="AJ10" s="258"/>
      <c r="AK10" s="258"/>
      <c r="AL10" s="258"/>
      <c r="AM10" s="258"/>
      <c r="AN10" s="258"/>
      <c r="AO10" s="258"/>
      <c r="AP10" s="258"/>
    </row>
    <row r="11" spans="1:42" s="40" customFormat="1" ht="27" customHeight="1" thickBot="1" x14ac:dyDescent="0.3">
      <c r="D11" s="177"/>
      <c r="E11" s="178" t="s">
        <v>191</v>
      </c>
      <c r="F11" s="410"/>
      <c r="H11" s="177"/>
      <c r="I11" s="178" t="s">
        <v>190</v>
      </c>
      <c r="J11" s="410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402"/>
      <c r="X11" s="258"/>
      <c r="Y11" s="258"/>
      <c r="Z11" s="397"/>
      <c r="AA11" s="402"/>
      <c r="AB11" s="399"/>
      <c r="AC11" s="399"/>
      <c r="AD11" s="399"/>
      <c r="AE11" s="399"/>
      <c r="AF11" s="258"/>
      <c r="AG11" s="398"/>
      <c r="AH11" s="258"/>
      <c r="AI11" s="258"/>
      <c r="AJ11" s="258"/>
      <c r="AK11" s="258"/>
      <c r="AL11" s="258"/>
      <c r="AM11" s="258"/>
      <c r="AN11" s="258"/>
      <c r="AO11" s="258"/>
      <c r="AP11" s="258"/>
    </row>
    <row r="12" spans="1:42" s="40" customFormat="1" ht="15.75" customHeight="1" thickBot="1" x14ac:dyDescent="0.3"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402"/>
      <c r="X12" s="403"/>
      <c r="Y12" s="258"/>
      <c r="Z12" s="397"/>
      <c r="AA12" s="402"/>
      <c r="AB12" s="399"/>
      <c r="AC12" s="400"/>
      <c r="AD12" s="401"/>
      <c r="AE12" s="404"/>
      <c r="AF12" s="405"/>
      <c r="AG12" s="405"/>
      <c r="AH12" s="406"/>
      <c r="AI12" s="258"/>
      <c r="AJ12" s="258"/>
      <c r="AK12" s="258"/>
      <c r="AL12" s="258"/>
      <c r="AM12" s="258"/>
      <c r="AN12" s="258"/>
      <c r="AO12" s="258"/>
      <c r="AP12" s="258"/>
    </row>
    <row r="13" spans="1:42" s="92" customFormat="1" ht="26.25" hidden="1" customHeight="1" x14ac:dyDescent="0.25">
      <c r="I13" s="118"/>
      <c r="J13" s="118"/>
      <c r="L13" s="156"/>
      <c r="M13" s="374"/>
      <c r="N13" s="374"/>
      <c r="O13" s="374"/>
      <c r="P13" s="374"/>
      <c r="Q13" s="374"/>
      <c r="R13" s="374"/>
      <c r="S13" s="374"/>
      <c r="T13" s="399"/>
      <c r="U13" s="374"/>
      <c r="V13" s="374"/>
      <c r="W13" s="374"/>
      <c r="X13" s="374"/>
      <c r="Y13" s="374"/>
      <c r="Z13" s="374"/>
      <c r="AA13" s="374"/>
      <c r="AB13" s="389"/>
      <c r="AC13" s="389"/>
      <c r="AD13" s="389"/>
      <c r="AE13" s="389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</row>
    <row r="14" spans="1:42" s="92" customFormat="1" ht="15.75" hidden="1" customHeight="1" x14ac:dyDescent="0.25">
      <c r="E14" s="473" t="s">
        <v>187</v>
      </c>
      <c r="F14" s="474"/>
      <c r="G14" s="217">
        <f>(F9*12*1.5)+(F9*12*0.8)+J9+J11</f>
        <v>0</v>
      </c>
      <c r="H14" s="473" t="s">
        <v>186</v>
      </c>
      <c r="I14" s="474"/>
      <c r="J14" s="219">
        <f>F11</f>
        <v>0</v>
      </c>
      <c r="L14" s="156"/>
      <c r="M14" s="374"/>
      <c r="N14" s="374"/>
      <c r="O14" s="374"/>
      <c r="P14" s="374"/>
      <c r="Q14" s="374"/>
      <c r="R14" s="374"/>
      <c r="S14" s="374"/>
      <c r="T14" s="399"/>
      <c r="U14" s="374"/>
      <c r="V14" s="374"/>
      <c r="W14" s="374"/>
      <c r="X14" s="374"/>
      <c r="Y14" s="374"/>
      <c r="Z14" s="374"/>
      <c r="AA14" s="374"/>
      <c r="AB14" s="389"/>
      <c r="AC14" s="389"/>
      <c r="AD14" s="389"/>
      <c r="AE14" s="389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</row>
    <row r="15" spans="1:42" s="92" customFormat="1" ht="15.75" hidden="1" customHeight="1" x14ac:dyDescent="0.25">
      <c r="E15" s="40"/>
      <c r="F15" s="40"/>
      <c r="G15" s="40"/>
      <c r="H15" s="218"/>
      <c r="I15" s="173"/>
      <c r="J15" s="173"/>
      <c r="L15" s="156"/>
      <c r="M15" s="374"/>
      <c r="N15" s="374"/>
      <c r="O15" s="374"/>
      <c r="P15" s="374"/>
      <c r="Q15" s="374"/>
      <c r="R15" s="374"/>
      <c r="S15" s="374"/>
      <c r="T15" s="399"/>
      <c r="U15" s="374"/>
      <c r="V15" s="374"/>
      <c r="W15" s="374"/>
      <c r="X15" s="374"/>
      <c r="Y15" s="374"/>
      <c r="Z15" s="374"/>
      <c r="AA15" s="374"/>
      <c r="AB15" s="389"/>
      <c r="AC15" s="389"/>
      <c r="AD15" s="389"/>
      <c r="AE15" s="389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</row>
    <row r="16" spans="1:42" s="92" customFormat="1" ht="15.75" hidden="1" customHeight="1" x14ac:dyDescent="0.25">
      <c r="E16" s="214"/>
      <c r="F16" s="215" t="s">
        <v>91</v>
      </c>
      <c r="G16" s="217">
        <f>(G14+J14)*0.99</f>
        <v>0</v>
      </c>
      <c r="H16" s="371"/>
      <c r="I16" s="372" t="s">
        <v>92</v>
      </c>
      <c r="J16" s="219">
        <f>(G14+J14)*0.97</f>
        <v>0</v>
      </c>
      <c r="L16" s="156"/>
      <c r="M16" s="374"/>
      <c r="N16" s="374"/>
      <c r="O16" s="374"/>
      <c r="P16" s="374"/>
      <c r="Q16" s="374"/>
      <c r="R16" s="374"/>
      <c r="S16" s="374"/>
      <c r="T16" s="399"/>
      <c r="U16" s="374"/>
      <c r="V16" s="374"/>
      <c r="W16" s="374"/>
      <c r="X16" s="374"/>
      <c r="Y16" s="374"/>
      <c r="Z16" s="374"/>
      <c r="AA16" s="374"/>
      <c r="AB16" s="389"/>
      <c r="AC16" s="389"/>
      <c r="AD16" s="389"/>
      <c r="AE16" s="389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</row>
    <row r="17" spans="4:42" s="92" customFormat="1" ht="15.75" hidden="1" customHeight="1" x14ac:dyDescent="0.25">
      <c r="E17" s="214"/>
      <c r="F17" s="215" t="s">
        <v>93</v>
      </c>
      <c r="G17" s="217">
        <f>(F9*12*1.34)+(F9*12*(800/1034))+(J14*0.933)+J9+J11</f>
        <v>0</v>
      </c>
      <c r="H17" s="371"/>
      <c r="I17" s="372" t="s">
        <v>94</v>
      </c>
      <c r="J17" s="219">
        <f>(F9*12*1.24)+(F9*12*(800/1055))+(J14*0.6)+6425+J9+J11</f>
        <v>6425</v>
      </c>
      <c r="L17" s="156"/>
      <c r="M17" s="374"/>
      <c r="N17" s="374"/>
      <c r="O17" s="374"/>
      <c r="P17" s="374"/>
      <c r="Q17" s="374"/>
      <c r="R17" s="374"/>
      <c r="S17" s="374"/>
      <c r="T17" s="399"/>
      <c r="U17" s="374"/>
      <c r="V17" s="374"/>
      <c r="W17" s="374"/>
      <c r="X17" s="374"/>
      <c r="Y17" s="374"/>
      <c r="Z17" s="374"/>
      <c r="AA17" s="374"/>
      <c r="AB17" s="389"/>
      <c r="AC17" s="389"/>
      <c r="AD17" s="389"/>
      <c r="AE17" s="389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</row>
    <row r="18" spans="4:42" s="92" customFormat="1" ht="15.75" hidden="1" customHeight="1" x14ac:dyDescent="0.25">
      <c r="E18" s="214"/>
      <c r="F18" s="215" t="s">
        <v>81</v>
      </c>
      <c r="G18" s="217">
        <f>G16-G17</f>
        <v>0</v>
      </c>
      <c r="H18" s="371"/>
      <c r="I18" s="372" t="s">
        <v>81</v>
      </c>
      <c r="J18" s="219">
        <f>J16-J17</f>
        <v>-6425</v>
      </c>
      <c r="L18" s="156"/>
      <c r="M18" s="374"/>
      <c r="N18" s="374"/>
      <c r="O18" s="374"/>
      <c r="P18" s="374"/>
      <c r="Q18" s="374"/>
      <c r="R18" s="374"/>
      <c r="S18" s="374"/>
      <c r="T18" s="399"/>
      <c r="U18" s="374"/>
      <c r="V18" s="374"/>
      <c r="W18" s="374"/>
      <c r="X18" s="374"/>
      <c r="Y18" s="374"/>
      <c r="Z18" s="374"/>
      <c r="AA18" s="374"/>
      <c r="AB18" s="389"/>
      <c r="AC18" s="389"/>
      <c r="AD18" s="389"/>
      <c r="AE18" s="389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</row>
    <row r="19" spans="4:42" s="92" customFormat="1" ht="15.75" hidden="1" customHeight="1" x14ac:dyDescent="0.25">
      <c r="E19" s="216"/>
      <c r="F19" s="215" t="s">
        <v>96</v>
      </c>
      <c r="G19" s="217">
        <f>G18/4</f>
        <v>0</v>
      </c>
      <c r="H19" s="373"/>
      <c r="I19" s="372" t="s">
        <v>95</v>
      </c>
      <c r="J19" s="369">
        <f>J18/12</f>
        <v>-535.41666666666663</v>
      </c>
      <c r="L19" s="156"/>
      <c r="M19" s="374"/>
      <c r="N19" s="374"/>
      <c r="O19" s="374"/>
      <c r="P19" s="374"/>
      <c r="Q19" s="374"/>
      <c r="R19" s="374"/>
      <c r="S19" s="374"/>
      <c r="T19" s="399"/>
      <c r="U19" s="374"/>
      <c r="V19" s="374"/>
      <c r="W19" s="374"/>
      <c r="X19" s="374"/>
      <c r="Y19" s="374"/>
      <c r="Z19" s="374"/>
      <c r="AA19" s="374"/>
      <c r="AB19" s="389"/>
      <c r="AC19" s="389"/>
      <c r="AD19" s="389"/>
      <c r="AE19" s="389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</row>
    <row r="20" spans="4:42" s="92" customFormat="1" ht="15.75" hidden="1" customHeight="1" x14ac:dyDescent="0.25">
      <c r="F20" s="118"/>
      <c r="I20" s="118"/>
      <c r="J20" s="118"/>
      <c r="L20" s="156"/>
      <c r="M20" s="374"/>
      <c r="N20" s="374"/>
      <c r="O20" s="374"/>
      <c r="P20" s="374"/>
      <c r="Q20" s="374"/>
      <c r="R20" s="374"/>
      <c r="S20" s="374"/>
      <c r="T20" s="399"/>
      <c r="U20" s="374"/>
      <c r="V20" s="374"/>
      <c r="W20" s="374"/>
      <c r="X20" s="374"/>
      <c r="Y20" s="374"/>
      <c r="Z20" s="374"/>
      <c r="AA20" s="374"/>
      <c r="AB20" s="389"/>
      <c r="AC20" s="389"/>
      <c r="AD20" s="389"/>
      <c r="AE20" s="389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</row>
    <row r="21" spans="4:42" s="92" customFormat="1" ht="15.75" hidden="1" customHeight="1" thickBot="1" x14ac:dyDescent="0.3">
      <c r="F21" s="118"/>
      <c r="I21" s="118"/>
      <c r="J21" s="118"/>
      <c r="L21" s="156"/>
      <c r="M21" s="374"/>
      <c r="N21" s="374"/>
      <c r="O21" s="374"/>
      <c r="P21" s="374"/>
      <c r="Q21" s="374"/>
      <c r="R21" s="374"/>
      <c r="S21" s="374"/>
      <c r="T21" s="399"/>
      <c r="U21" s="374"/>
      <c r="V21" s="374"/>
      <c r="W21" s="374"/>
      <c r="X21" s="374"/>
      <c r="Y21" s="374"/>
      <c r="Z21" s="374"/>
      <c r="AA21" s="374"/>
      <c r="AB21" s="389"/>
      <c r="AC21" s="389"/>
      <c r="AD21" s="389"/>
      <c r="AE21" s="389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</row>
    <row r="22" spans="4:42" s="92" customFormat="1" ht="26.25" customHeight="1" thickBot="1" x14ac:dyDescent="0.3">
      <c r="D22" s="169" t="s">
        <v>78</v>
      </c>
      <c r="E22" s="135"/>
      <c r="F22" s="170"/>
      <c r="G22" s="170"/>
      <c r="H22" s="171" t="s">
        <v>79</v>
      </c>
      <c r="I22" s="172"/>
      <c r="J22" s="259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407"/>
      <c r="AA22" s="408"/>
      <c r="AB22" s="389"/>
      <c r="AC22" s="389"/>
      <c r="AD22" s="389"/>
      <c r="AE22" s="389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</row>
    <row r="23" spans="4:42" s="92" customFormat="1" ht="23.25" customHeight="1" thickBot="1" x14ac:dyDescent="0.3">
      <c r="F23" s="165"/>
      <c r="G23" s="165"/>
      <c r="H23" s="127" t="s">
        <v>76</v>
      </c>
      <c r="I23" s="209" t="b">
        <v>1</v>
      </c>
      <c r="J23" s="126">
        <f>IF(I23=TRUE,1,0)</f>
        <v>1</v>
      </c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</row>
    <row r="24" spans="4:42" s="92" customFormat="1" ht="23.25" customHeight="1" thickBot="1" x14ac:dyDescent="0.3">
      <c r="F24" s="164"/>
      <c r="G24" s="164"/>
      <c r="H24" s="128" t="s">
        <v>51</v>
      </c>
      <c r="I24" s="210" t="b">
        <v>1</v>
      </c>
      <c r="J24" s="126">
        <f>IF(I24=TRUE,1,0)</f>
        <v>1</v>
      </c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</row>
    <row r="25" spans="4:42" s="92" customFormat="1" ht="23.25" customHeight="1" thickBot="1" x14ac:dyDescent="0.3">
      <c r="F25" s="164"/>
      <c r="G25" s="164"/>
      <c r="H25" s="128" t="s">
        <v>52</v>
      </c>
      <c r="I25" s="210" t="b">
        <v>1</v>
      </c>
      <c r="J25" s="126">
        <f>IF(I25=TRUE,1,0)</f>
        <v>1</v>
      </c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</row>
    <row r="26" spans="4:42" s="92" customFormat="1" ht="23.25" customHeight="1" thickBot="1" x14ac:dyDescent="0.3">
      <c r="F26" s="164"/>
      <c r="G26" s="164"/>
      <c r="H26" s="128" t="s">
        <v>53</v>
      </c>
      <c r="I26" s="210" t="b">
        <v>1</v>
      </c>
      <c r="J26" s="126">
        <f>IF(I26=TRUE,1,0)</f>
        <v>1</v>
      </c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</row>
    <row r="27" spans="4:42" s="92" customFormat="1" ht="23.25" customHeight="1" x14ac:dyDescent="0.25">
      <c r="G27" s="40"/>
      <c r="H27" s="40"/>
      <c r="I27" s="134"/>
      <c r="J27" s="126">
        <f>SUM(J23:J26)</f>
        <v>4</v>
      </c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</row>
    <row r="28" spans="4:42" s="92" customFormat="1" ht="24.75" customHeight="1" x14ac:dyDescent="0.25">
      <c r="D28" s="367" t="s">
        <v>77</v>
      </c>
      <c r="E28" s="356"/>
      <c r="F28" s="166"/>
      <c r="G28" s="166"/>
      <c r="H28" s="357"/>
      <c r="I28" s="357"/>
      <c r="J28" s="478" t="s">
        <v>162</v>
      </c>
      <c r="K28" s="478"/>
      <c r="L28" s="478" t="s">
        <v>163</v>
      </c>
      <c r="M28" s="478"/>
      <c r="N28" s="475" t="s">
        <v>170</v>
      </c>
      <c r="O28" s="475"/>
      <c r="P28" s="291"/>
      <c r="Q28" s="291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</row>
    <row r="29" spans="4:42" s="92" customFormat="1" ht="28.5" customHeight="1" thickBot="1" x14ac:dyDescent="0.3">
      <c r="D29" s="169" t="s">
        <v>80</v>
      </c>
      <c r="E29" s="136"/>
      <c r="F29" s="169"/>
      <c r="G29" s="167"/>
      <c r="H29" s="168"/>
      <c r="I29" s="168"/>
      <c r="J29" s="470" t="s">
        <v>164</v>
      </c>
      <c r="K29" s="470"/>
      <c r="L29" s="470" t="s">
        <v>161</v>
      </c>
      <c r="M29" s="470"/>
      <c r="N29" s="476"/>
      <c r="O29" s="476"/>
      <c r="S29" s="126"/>
      <c r="T29" s="376" t="s">
        <v>165</v>
      </c>
      <c r="U29" s="376" t="s">
        <v>166</v>
      </c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4:42" s="92" customFormat="1" ht="42.75" customHeight="1" thickBot="1" x14ac:dyDescent="0.3">
      <c r="E30" s="471" t="s">
        <v>61</v>
      </c>
      <c r="F30" s="471"/>
      <c r="G30" s="471"/>
      <c r="H30" s="471"/>
      <c r="I30" s="128" t="s">
        <v>54</v>
      </c>
      <c r="J30" s="208" t="b">
        <v>1</v>
      </c>
      <c r="K30" s="208">
        <f>IF(J30=TRUE,1,0)</f>
        <v>1</v>
      </c>
      <c r="L30" s="208" t="b">
        <v>1</v>
      </c>
      <c r="M30" s="208">
        <f>IF(L30=TRUE,1,0)</f>
        <v>1</v>
      </c>
      <c r="N30" s="477">
        <f>IF((M30+K30)=2,10,IF((M30+K30)=1,5,IF((K30+M30)=0,0)))</f>
        <v>10</v>
      </c>
      <c r="O30" s="477"/>
      <c r="S30" s="126"/>
      <c r="T30" s="377">
        <f>IF(J30=TRUE,5,0)</f>
        <v>5</v>
      </c>
      <c r="U30" s="377">
        <f>IF(L30=TRUE,5,0)</f>
        <v>5</v>
      </c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</row>
    <row r="31" spans="4:42" s="92" customFormat="1" ht="42.75" customHeight="1" thickBot="1" x14ac:dyDescent="0.3">
      <c r="E31" s="472" t="s">
        <v>64</v>
      </c>
      <c r="F31" s="472"/>
      <c r="G31" s="472"/>
      <c r="H31" s="472"/>
      <c r="I31" s="128" t="s">
        <v>57</v>
      </c>
      <c r="J31" s="208" t="b">
        <v>1</v>
      </c>
      <c r="K31" s="208">
        <f>IF(J31=TRUE,1,0)</f>
        <v>1</v>
      </c>
      <c r="L31" s="208" t="b">
        <v>1</v>
      </c>
      <c r="M31" s="208">
        <f>IF(L31=TRUE,1,0)</f>
        <v>1</v>
      </c>
      <c r="N31" s="477">
        <f>IF((M31+K31)=2,10,IF((M31+K31)=1,5,IF((K31+M31)=0,0)))</f>
        <v>10</v>
      </c>
      <c r="O31" s="477"/>
      <c r="S31" s="126"/>
      <c r="T31" s="377">
        <f>IF(J31=TRUE,5,0)</f>
        <v>5</v>
      </c>
      <c r="U31" s="377">
        <f>IF(L31=TRUE,5,0)</f>
        <v>5</v>
      </c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</row>
    <row r="32" spans="4:42" s="92" customFormat="1" ht="42.75" customHeight="1" thickBot="1" x14ac:dyDescent="0.3">
      <c r="E32" s="472" t="s">
        <v>65</v>
      </c>
      <c r="F32" s="472"/>
      <c r="G32" s="472"/>
      <c r="H32" s="472"/>
      <c r="I32" s="128" t="s">
        <v>57</v>
      </c>
      <c r="J32" s="208" t="b">
        <v>1</v>
      </c>
      <c r="K32" s="208">
        <f>IF(J32=TRUE,1,0)</f>
        <v>1</v>
      </c>
      <c r="L32" s="208" t="b">
        <v>1</v>
      </c>
      <c r="M32" s="208">
        <f>IF(L32=TRUE,1,0)</f>
        <v>1</v>
      </c>
      <c r="N32" s="477">
        <f>IF((M32+K32)=2,5,IF((M32+K32)=1,2.5,IF((K32+M32)=0,0)))</f>
        <v>5</v>
      </c>
      <c r="O32" s="477"/>
      <c r="S32" s="126"/>
      <c r="T32" s="377">
        <f>IF(J32=TRUE,2.5,0)</f>
        <v>2.5</v>
      </c>
      <c r="U32" s="377">
        <f>IF(L32=TRUE,2.5,0)</f>
        <v>2.5</v>
      </c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</row>
    <row r="33" spans="1:31" s="92" customFormat="1" ht="42.75" customHeight="1" thickBot="1" x14ac:dyDescent="0.3">
      <c r="E33" s="472" t="s">
        <v>66</v>
      </c>
      <c r="F33" s="472"/>
      <c r="G33" s="472"/>
      <c r="H33" s="472"/>
      <c r="I33" s="128" t="s">
        <v>58</v>
      </c>
      <c r="J33" s="208" t="b">
        <v>1</v>
      </c>
      <c r="K33" s="208">
        <f>IF(J33=TRUE,1,0)</f>
        <v>1</v>
      </c>
      <c r="L33" s="208" t="b">
        <v>1</v>
      </c>
      <c r="M33" s="208">
        <f>IF(L33=TRUE,1,0)</f>
        <v>1</v>
      </c>
      <c r="N33" s="477">
        <f>IF((M33+K33)=2,20,IF((M33+K33)=1,10,IF((K33+M33)=0,0)))</f>
        <v>20</v>
      </c>
      <c r="O33" s="477"/>
      <c r="S33" s="126"/>
      <c r="T33" s="377">
        <f>IF(J33=TRUE,10,0)</f>
        <v>10</v>
      </c>
      <c r="U33" s="377">
        <f>IF(L33=TRUE,10,0)</f>
        <v>10</v>
      </c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</row>
    <row r="34" spans="1:31" s="92" customFormat="1" ht="42.75" customHeight="1" thickBot="1" x14ac:dyDescent="0.3">
      <c r="E34" s="472" t="s">
        <v>67</v>
      </c>
      <c r="F34" s="472"/>
      <c r="G34" s="472"/>
      <c r="H34" s="472"/>
      <c r="I34" s="128" t="s">
        <v>59</v>
      </c>
      <c r="J34" s="208" t="b">
        <v>1</v>
      </c>
      <c r="K34" s="208">
        <f>IF(J34=TRUE,1,0)</f>
        <v>1</v>
      </c>
      <c r="L34" s="208" t="b">
        <v>1</v>
      </c>
      <c r="M34" s="208">
        <f>IF(L34=TRUE,1,0)</f>
        <v>1</v>
      </c>
      <c r="N34" s="477">
        <f>IF((M34+K34)=2,10,IF((M34+K34)=1,5,IF((K34+M34)=0,0)))</f>
        <v>10</v>
      </c>
      <c r="O34" s="477"/>
      <c r="S34" s="126"/>
      <c r="T34" s="377">
        <f>IF(J34=TRUE,5,0)</f>
        <v>5</v>
      </c>
      <c r="U34" s="377">
        <f>IF(L34=TRUE,5,0)</f>
        <v>5</v>
      </c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</row>
    <row r="35" spans="1:31" s="92" customFormat="1" ht="42.75" customHeight="1" thickBot="1" x14ac:dyDescent="0.3">
      <c r="E35" s="466" t="s">
        <v>60</v>
      </c>
      <c r="F35" s="466"/>
      <c r="G35" s="466"/>
      <c r="H35" s="466"/>
      <c r="I35" s="127" t="s">
        <v>54</v>
      </c>
      <c r="J35" s="207">
        <v>1</v>
      </c>
      <c r="K35" s="207"/>
      <c r="L35" s="211"/>
      <c r="M35" s="208"/>
      <c r="N35" s="459">
        <f>IF(J35=3,0,IF(J35=2,20,IF(J35=1,20)))</f>
        <v>20</v>
      </c>
      <c r="O35" s="459"/>
      <c r="S35" s="126"/>
      <c r="T35" s="377">
        <f>IF(J35=0,0,IF(J35=1,20,IF(J35=2,0,IF(J35=3,0))))</f>
        <v>20</v>
      </c>
      <c r="U35" s="377">
        <f>IF(J35=1,0,IF(J35=2,20,IF(J35=3,0)))</f>
        <v>0</v>
      </c>
      <c r="V35" s="126"/>
      <c r="W35" s="126" t="s">
        <v>162</v>
      </c>
      <c r="X35" s="126"/>
      <c r="Y35" s="126"/>
      <c r="Z35" s="126"/>
      <c r="AA35" s="126"/>
      <c r="AB35" s="126"/>
      <c r="AC35" s="126"/>
      <c r="AD35" s="126"/>
      <c r="AE35" s="126"/>
    </row>
    <row r="36" spans="1:31" s="92" customFormat="1" ht="43.5" customHeight="1" thickBot="1" x14ac:dyDescent="0.3">
      <c r="E36" s="471" t="s">
        <v>62</v>
      </c>
      <c r="F36" s="471"/>
      <c r="G36" s="471"/>
      <c r="H36" s="471"/>
      <c r="I36" s="128" t="s">
        <v>55</v>
      </c>
      <c r="J36" s="208">
        <v>1</v>
      </c>
      <c r="K36" s="208"/>
      <c r="L36" s="208"/>
      <c r="M36" s="208"/>
      <c r="N36" s="459">
        <f>IF(J36=3,0,IF(J36=2,5,IF(J36=1,5)))</f>
        <v>5</v>
      </c>
      <c r="O36" s="459"/>
      <c r="S36" s="126"/>
      <c r="T36" s="377">
        <f>IF(J36=0,0,IF(J36=1,5,IF(J36=2,0,IF(J36=3,0))))</f>
        <v>5</v>
      </c>
      <c r="U36" s="377">
        <f>IF(J36=1,0,IF(J36=2,5,IF(J36=3,0)))</f>
        <v>0</v>
      </c>
      <c r="V36" s="126"/>
      <c r="W36" s="126" t="s">
        <v>163</v>
      </c>
      <c r="X36" s="126"/>
      <c r="Y36" s="126"/>
      <c r="Z36" s="126"/>
      <c r="AA36" s="126"/>
      <c r="AB36" s="126"/>
      <c r="AC36" s="126"/>
      <c r="AD36" s="126"/>
      <c r="AE36" s="126"/>
    </row>
    <row r="37" spans="1:31" s="92" customFormat="1" ht="43.5" customHeight="1" thickBot="1" x14ac:dyDescent="0.3">
      <c r="E37" s="471" t="s">
        <v>63</v>
      </c>
      <c r="F37" s="471"/>
      <c r="G37" s="471"/>
      <c r="H37" s="471"/>
      <c r="I37" s="128" t="s">
        <v>56</v>
      </c>
      <c r="J37" s="208">
        <v>1</v>
      </c>
      <c r="K37" s="208"/>
      <c r="L37" s="208"/>
      <c r="M37" s="208"/>
      <c r="N37" s="459">
        <f>IF(J37=3,0,IF(J37=2,20,IF(J37=1,20)))</f>
        <v>20</v>
      </c>
      <c r="O37" s="459"/>
      <c r="S37" s="126"/>
      <c r="T37" s="377">
        <f>IF(J37=0,0,IF(J37=1,20,IF(J37=2,0,IF(J37=3,0))))</f>
        <v>20</v>
      </c>
      <c r="U37" s="377">
        <f>IF(J37=1,0,IF(J37=2,20,IF(J37=3,0)))</f>
        <v>0</v>
      </c>
      <c r="V37" s="126"/>
      <c r="W37" s="126" t="s">
        <v>183</v>
      </c>
      <c r="X37" s="126"/>
      <c r="Y37" s="126"/>
      <c r="Z37" s="126"/>
      <c r="AA37" s="126"/>
      <c r="AB37" s="126"/>
      <c r="AC37" s="126"/>
      <c r="AD37" s="126"/>
      <c r="AE37" s="126"/>
    </row>
    <row r="38" spans="1:31" s="92" customFormat="1" ht="50.25" customHeight="1" thickBot="1" x14ac:dyDescent="0.3">
      <c r="E38" s="109"/>
      <c r="H38" s="118"/>
      <c r="I38" s="358" t="s">
        <v>169</v>
      </c>
      <c r="J38" s="460">
        <f>SUM(T30,T31,T32,T33,T34,T35,T36,T37)</f>
        <v>72.5</v>
      </c>
      <c r="K38" s="460"/>
      <c r="L38" s="460">
        <f>SUM(U30:U37)</f>
        <v>27.5</v>
      </c>
      <c r="M38" s="460"/>
      <c r="N38" s="374"/>
      <c r="O38" s="374"/>
      <c r="P38" s="291"/>
      <c r="Q38" s="291"/>
      <c r="R38" s="291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</row>
    <row r="39" spans="1:31" s="92" customFormat="1" ht="49.5" customHeight="1" x14ac:dyDescent="0.25">
      <c r="E39" s="109"/>
      <c r="H39" s="118"/>
      <c r="I39" s="361" t="s">
        <v>168</v>
      </c>
      <c r="J39" s="467">
        <f>J38*L44</f>
        <v>4640</v>
      </c>
      <c r="K39" s="467"/>
      <c r="L39" s="467">
        <f>L38*L44</f>
        <v>1760</v>
      </c>
      <c r="M39" s="467"/>
      <c r="N39" s="355"/>
      <c r="O39" s="355"/>
      <c r="P39" s="291"/>
      <c r="Q39" s="291"/>
      <c r="R39" s="291"/>
      <c r="S39" s="291"/>
      <c r="T39" s="291"/>
    </row>
    <row r="40" spans="1:31" s="92" customFormat="1" ht="14.25" customHeight="1" thickBot="1" x14ac:dyDescent="0.3">
      <c r="E40" s="109"/>
      <c r="H40" s="118"/>
      <c r="I40" s="118"/>
      <c r="J40" s="360"/>
      <c r="K40" s="359"/>
      <c r="L40" s="360"/>
      <c r="M40" s="359"/>
      <c r="N40" s="355"/>
      <c r="O40" s="355"/>
    </row>
    <row r="41" spans="1:31" s="92" customFormat="1" ht="34.5" customHeight="1" thickBot="1" x14ac:dyDescent="0.3">
      <c r="E41" s="109"/>
      <c r="H41" s="118"/>
      <c r="I41" s="118"/>
      <c r="J41" s="457" t="s">
        <v>167</v>
      </c>
      <c r="K41" s="458"/>
      <c r="L41" s="457" t="s">
        <v>172</v>
      </c>
      <c r="M41" s="458"/>
      <c r="N41" s="355"/>
      <c r="O41" s="355"/>
    </row>
    <row r="42" spans="1:31" s="92" customFormat="1" ht="21.75" customHeight="1" x14ac:dyDescent="0.25">
      <c r="E42" s="109"/>
      <c r="H42" s="118"/>
      <c r="I42" s="118"/>
      <c r="J42" s="355"/>
      <c r="K42" s="355"/>
      <c r="L42" s="355"/>
      <c r="M42" s="355"/>
      <c r="N42" s="355"/>
      <c r="O42" s="355"/>
    </row>
    <row r="43" spans="1:31" s="92" customFormat="1" ht="23.25" customHeight="1" x14ac:dyDescent="0.25">
      <c r="E43" s="109"/>
      <c r="H43" s="118"/>
      <c r="I43" s="368" t="s">
        <v>171</v>
      </c>
      <c r="J43" s="362"/>
      <c r="K43" s="363" t="s">
        <v>69</v>
      </c>
      <c r="L43" s="469">
        <f>SUM(N30:O37)</f>
        <v>100</v>
      </c>
      <c r="M43" s="469"/>
    </row>
    <row r="44" spans="1:31" s="92" customFormat="1" ht="23.25" customHeight="1" thickBot="1" x14ac:dyDescent="0.3">
      <c r="E44" s="109"/>
      <c r="H44" s="118"/>
      <c r="I44" s="364"/>
      <c r="J44" s="364"/>
      <c r="K44" s="363" t="s">
        <v>68</v>
      </c>
      <c r="L44" s="468">
        <v>64</v>
      </c>
      <c r="M44" s="468"/>
    </row>
    <row r="45" spans="1:31" s="92" customFormat="1" ht="31.5" customHeight="1" x14ac:dyDescent="0.25">
      <c r="F45" s="109"/>
      <c r="I45" s="365"/>
      <c r="J45" s="365"/>
      <c r="K45" s="366" t="s">
        <v>70</v>
      </c>
      <c r="L45" s="467">
        <f>L44*L43</f>
        <v>6400</v>
      </c>
      <c r="M45" s="467"/>
      <c r="P45" s="129"/>
      <c r="R45" s="146"/>
    </row>
    <row r="46" spans="1:31" s="92" customFormat="1" ht="28.5" customHeight="1" thickBot="1" x14ac:dyDescent="0.3">
      <c r="A46" s="137"/>
      <c r="B46" s="138" t="s">
        <v>72</v>
      </c>
      <c r="C46" s="139"/>
      <c r="D46" s="139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55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</row>
    <row r="47" spans="1:31" s="92" customFormat="1" ht="23.25" customHeight="1" thickTop="1" thickBot="1" x14ac:dyDescent="0.3">
      <c r="F47" s="109"/>
      <c r="I47" s="118"/>
      <c r="J47" s="118"/>
    </row>
    <row r="48" spans="1:31" ht="54" customHeight="1" thickBot="1" x14ac:dyDescent="0.3">
      <c r="C48" s="80"/>
      <c r="D48" s="80"/>
      <c r="E48" s="143" t="s">
        <v>0</v>
      </c>
      <c r="F48" s="117" t="s">
        <v>1</v>
      </c>
      <c r="G48" s="119" t="s">
        <v>50</v>
      </c>
      <c r="H48" s="122" t="s">
        <v>175</v>
      </c>
      <c r="I48" s="117" t="s">
        <v>83</v>
      </c>
      <c r="J48" s="463" t="s">
        <v>44</v>
      </c>
      <c r="K48" s="463"/>
      <c r="L48" s="463" t="s">
        <v>47</v>
      </c>
      <c r="M48" s="463"/>
      <c r="AA48" s="149"/>
    </row>
    <row r="49" spans="3:29" s="40" customFormat="1" ht="32.25" customHeight="1" thickBot="1" x14ac:dyDescent="0.3">
      <c r="C49" s="81"/>
      <c r="D49" s="81">
        <v>42675</v>
      </c>
      <c r="E49" s="82">
        <f>IF(F4&lt;$G$80,0,IF(F4&lt;$G$81,$K$80,IF(F4&lt;$G$82,$K$81,$K$82)))+IF(F4&lt;$N$80,$Q$79,IF(F4&lt;$N$81,$Q$80,IF(F4&lt;$N$82,$Q$81,F4*$P$82)))+F4*$V$77+F4*$Z$77+V78+V79</f>
        <v>13069.408529149909</v>
      </c>
      <c r="F49" s="82">
        <f>F4*$Z$80</f>
        <v>5416.0822793216266</v>
      </c>
      <c r="G49" s="121" t="s">
        <v>49</v>
      </c>
      <c r="H49" s="123" t="s">
        <v>49</v>
      </c>
      <c r="I49" s="83">
        <f>F49+E49</f>
        <v>18485.490808471535</v>
      </c>
      <c r="J49" s="83"/>
      <c r="K49" s="84"/>
      <c r="L49" s="83"/>
      <c r="M49" s="200"/>
      <c r="AA49" s="150"/>
    </row>
    <row r="50" spans="3:29" s="40" customFormat="1" ht="32.25" customHeight="1" thickBot="1" x14ac:dyDescent="0.3">
      <c r="C50" s="110"/>
      <c r="D50" s="110" t="s">
        <v>179</v>
      </c>
      <c r="E50" s="85">
        <f>IF(F4&lt;$G$89,0,IF(F4&lt;$G$90,$K$89,IF(F4&lt;$G$91,$K$90,$K$91)))+F4*$S$88+F4*$Z$86</f>
        <v>10282.075195816575</v>
      </c>
      <c r="F50" s="86">
        <f>F4*Z89</f>
        <v>5416.0822793216266</v>
      </c>
      <c r="G50" s="120">
        <f>IF(F4*12&gt;109012,0,IF($F$6="no",0,IF((G19)&lt;0,0,G19)))</f>
        <v>0</v>
      </c>
      <c r="H50" s="125" t="s">
        <v>49</v>
      </c>
      <c r="I50" s="86">
        <f>F50+E50+G50</f>
        <v>15698.157475138201</v>
      </c>
      <c r="J50" s="86"/>
      <c r="K50" s="86">
        <f>I50-I49</f>
        <v>-2787.3333333333339</v>
      </c>
      <c r="L50" s="86"/>
      <c r="M50" s="87">
        <f>K50/I49</f>
        <v>-0.1507849243611078</v>
      </c>
      <c r="AA50" s="150"/>
    </row>
    <row r="51" spans="3:29" s="40" customFormat="1" ht="32.25" customHeight="1" thickBot="1" x14ac:dyDescent="0.3">
      <c r="C51" s="111"/>
      <c r="D51" s="111" t="s">
        <v>173</v>
      </c>
      <c r="E51" s="88">
        <f>IF(F4&lt;$G$99,0,IF(F4&lt;$G$100,$K$99,IF(F4&lt;$G$101,$K$100,$K$101)))+F4*$S$98+F4*$Z$96</f>
        <v>10689.190260202346</v>
      </c>
      <c r="F51" s="89">
        <f>$F$4*$Z$99</f>
        <v>5309.8845875702227</v>
      </c>
      <c r="G51" s="195">
        <f>IF($F$4*12&gt;109012,0,IF($F$6="no",0,IF(($J$19)&lt;0,0,$J$19)))</f>
        <v>0</v>
      </c>
      <c r="H51" s="370" t="s">
        <v>49</v>
      </c>
      <c r="I51" s="89">
        <f>F51+E51+G51</f>
        <v>15999.074847772568</v>
      </c>
      <c r="J51" s="89"/>
      <c r="K51" s="89">
        <f>I51-I49</f>
        <v>-2486.415960698967</v>
      </c>
      <c r="L51" s="89"/>
      <c r="M51" s="90">
        <f>K51/I49</f>
        <v>-0.13450635346720097</v>
      </c>
      <c r="AA51" s="150"/>
    </row>
    <row r="52" spans="3:29" s="40" customFormat="1" ht="32.25" customHeight="1" thickBot="1" x14ac:dyDescent="0.3">
      <c r="C52" s="111"/>
      <c r="D52" s="111" t="s">
        <v>174</v>
      </c>
      <c r="E52" s="88">
        <f>IF(F4&lt;$G$99,0,IF(F4&lt;$G$100,$K$99,IF(F4&lt;$G$101,$K$100,$K$101)))+F4*S98+F4*Z96</f>
        <v>10689.190260202346</v>
      </c>
      <c r="F52" s="89">
        <f>$F$4*$Z$99</f>
        <v>5309.8845875702227</v>
      </c>
      <c r="G52" s="195">
        <f>IF($F$4*12&gt;109012,0,IF($F$6="no",0,IF(($J$19)&lt;0,0,$J$19)))</f>
        <v>0</v>
      </c>
      <c r="H52" s="124">
        <f>IF(SUM($J$23:$J$26)=4,$J$39,0)</f>
        <v>4640</v>
      </c>
      <c r="I52" s="89">
        <f>E52+F52+G52+H52</f>
        <v>20639.074847772568</v>
      </c>
      <c r="J52" s="89"/>
      <c r="K52" s="89">
        <f>I52-I49</f>
        <v>2153.584039301033</v>
      </c>
      <c r="L52" s="89"/>
      <c r="M52" s="90">
        <f>K52/I49</f>
        <v>0.1165013177964465</v>
      </c>
      <c r="AA52" s="150"/>
    </row>
    <row r="53" spans="3:29" s="40" customFormat="1" ht="32.25" customHeight="1" thickBot="1" x14ac:dyDescent="0.3">
      <c r="C53" s="111"/>
      <c r="D53" s="111" t="s">
        <v>180</v>
      </c>
      <c r="E53" s="88">
        <f>IF($F$4&lt;$G$99,0,IF($F$4&lt;$G$100,$K$99,IF($F$4&lt;$G$101,$K$100,$K$101)))+$F$4*$S$98+$F$4*$Z$96</f>
        <v>10689.190260202346</v>
      </c>
      <c r="F53" s="89">
        <f>$F$4*$Z$99</f>
        <v>5309.8845875702227</v>
      </c>
      <c r="G53" s="195">
        <f>IF($F$4*12&gt;109012,0,IF($F$6="no",0,IF(($J$19)&lt;0,0,$J$19)))</f>
        <v>0</v>
      </c>
      <c r="H53" s="370" t="s">
        <v>49</v>
      </c>
      <c r="I53" s="89">
        <f>F53+E53+G53</f>
        <v>15999.074847772568</v>
      </c>
      <c r="J53" s="89"/>
      <c r="K53" s="89">
        <f>I53-I49</f>
        <v>-2486.415960698967</v>
      </c>
      <c r="L53" s="89"/>
      <c r="M53" s="90">
        <f>K53/I49</f>
        <v>-0.13450635346720097</v>
      </c>
      <c r="AA53" s="150"/>
    </row>
    <row r="54" spans="3:29" s="40" customFormat="1" ht="32.25" customHeight="1" thickBot="1" x14ac:dyDescent="0.3">
      <c r="C54" s="111"/>
      <c r="D54" s="111" t="s">
        <v>177</v>
      </c>
      <c r="E54" s="88">
        <f>IF($F$4&lt;$G$99,0,IF($F$4&lt;$G$100,$K$99,IF($F$4&lt;$G$101,$K$100,$K$101)))+$F$4*$S$98+$F$4*$Z$96</f>
        <v>10689.190260202346</v>
      </c>
      <c r="F54" s="89">
        <f>$F$4*$Z$99</f>
        <v>5309.8845875702227</v>
      </c>
      <c r="G54" s="195">
        <f>IF($F$4*12&gt;109012,0,IF($F$6="no",0,IF(($J$19)&lt;0,0,$J$19)))</f>
        <v>0</v>
      </c>
      <c r="H54" s="124">
        <f>IF(SUM($J$23:$J$26)=4,$L$39,0)</f>
        <v>1760</v>
      </c>
      <c r="I54" s="89">
        <f>E54+F54+G54+H54</f>
        <v>17759.074847772568</v>
      </c>
      <c r="J54" s="89"/>
      <c r="K54" s="89">
        <f>I54-I49</f>
        <v>-726.41596069896696</v>
      </c>
      <c r="L54" s="89"/>
      <c r="M54" s="90">
        <f>K54/I49</f>
        <v>-3.9296547125817448E-2</v>
      </c>
      <c r="AA54" s="150"/>
    </row>
    <row r="55" spans="3:29" s="40" customFormat="1" ht="32.25" customHeight="1" thickBot="1" x14ac:dyDescent="0.3">
      <c r="C55" s="111"/>
      <c r="D55" s="111" t="s">
        <v>178</v>
      </c>
      <c r="E55" s="88">
        <f>IF($F$4&lt;$G$99,0,IF($F$4&lt;$G$100,$K$99,IF($F$4&lt;$G$101,$K$100,$K$101)))+$F$4*$S$98+$F$4*$Z$96</f>
        <v>10689.190260202346</v>
      </c>
      <c r="F55" s="89">
        <f>$F$4*$Z$99</f>
        <v>5309.8845875702227</v>
      </c>
      <c r="G55" s="195">
        <f>IF($F$4*12&gt;109012,0,IF($F$6="no",0,IF(($J$19)&lt;0,0,$J$19)))</f>
        <v>0</v>
      </c>
      <c r="H55" s="370" t="s">
        <v>49</v>
      </c>
      <c r="I55" s="89">
        <f>F55+E55+G55</f>
        <v>15999.074847772568</v>
      </c>
      <c r="J55" s="89"/>
      <c r="K55" s="89">
        <f>I55-I49</f>
        <v>-2486.415960698967</v>
      </c>
      <c r="L55" s="89"/>
      <c r="M55" s="90">
        <f>K55/I49</f>
        <v>-0.13450635346720097</v>
      </c>
      <c r="AA55" s="150"/>
    </row>
    <row r="56" spans="3:29" s="92" customFormat="1" ht="18.75" customHeight="1" x14ac:dyDescent="0.25">
      <c r="G56" s="193"/>
      <c r="H56" s="148"/>
      <c r="AA56" s="149"/>
    </row>
    <row r="57" spans="3:29" s="4" customFormat="1" x14ac:dyDescent="0.25">
      <c r="D57" s="192" t="s">
        <v>82</v>
      </c>
      <c r="G57" s="193"/>
      <c r="AA57" s="158"/>
    </row>
    <row r="58" spans="3:29" s="4" customFormat="1" x14ac:dyDescent="0.25">
      <c r="D58" s="192" t="s">
        <v>176</v>
      </c>
      <c r="G58" s="193"/>
      <c r="I58" s="159"/>
      <c r="M58" s="160"/>
      <c r="T58" s="158"/>
      <c r="U58" s="158"/>
      <c r="Z58" s="158"/>
      <c r="AA58" s="158"/>
      <c r="AB58" s="158"/>
      <c r="AC58" s="158"/>
    </row>
    <row r="59" spans="3:29" s="4" customFormat="1" x14ac:dyDescent="0.25">
      <c r="D59" s="192" t="s">
        <v>181</v>
      </c>
      <c r="G59" s="193"/>
      <c r="N59" s="161"/>
      <c r="O59" s="161"/>
      <c r="T59" s="158"/>
      <c r="U59" s="158"/>
      <c r="V59" s="158"/>
      <c r="Z59" s="158"/>
      <c r="AA59" s="158"/>
      <c r="AB59" s="158"/>
      <c r="AC59" s="158"/>
    </row>
    <row r="60" spans="3:29" s="4" customFormat="1" x14ac:dyDescent="0.25">
      <c r="G60" s="193"/>
      <c r="I60" s="159"/>
      <c r="L60" s="162"/>
      <c r="M60" s="163"/>
      <c r="N60" s="162"/>
      <c r="O60" s="162"/>
      <c r="P60" s="162"/>
      <c r="Q60" s="163"/>
      <c r="T60" s="158"/>
      <c r="U60" s="158"/>
      <c r="V60" s="158"/>
      <c r="Z60" s="158"/>
      <c r="AA60" s="158"/>
      <c r="AB60" s="158"/>
      <c r="AC60" s="158"/>
    </row>
    <row r="61" spans="3:29" s="4" customFormat="1" ht="15.75" thickBot="1" x14ac:dyDescent="0.3">
      <c r="G61" s="194"/>
      <c r="N61" s="162"/>
      <c r="T61" s="158"/>
      <c r="U61" s="158"/>
      <c r="V61" s="158"/>
      <c r="Z61" s="158"/>
      <c r="AA61" s="158"/>
      <c r="AB61" s="158"/>
      <c r="AC61" s="158"/>
    </row>
    <row r="62" spans="3:29" s="4" customFormat="1" x14ac:dyDescent="0.25">
      <c r="D62" s="182"/>
      <c r="E62" s="183"/>
      <c r="F62" s="183"/>
      <c r="G62" s="184"/>
      <c r="H62" s="184"/>
      <c r="I62" s="185"/>
      <c r="J62" s="183"/>
      <c r="K62" s="183"/>
      <c r="L62" s="186"/>
      <c r="N62" s="162"/>
      <c r="T62" s="158"/>
      <c r="U62" s="158"/>
      <c r="V62" s="158"/>
      <c r="Z62" s="158"/>
      <c r="AA62" s="158"/>
      <c r="AB62" s="158"/>
      <c r="AC62" s="158"/>
    </row>
    <row r="63" spans="3:29" s="4" customFormat="1" ht="15" customHeight="1" x14ac:dyDescent="0.25">
      <c r="D63" s="204" t="s">
        <v>86</v>
      </c>
      <c r="E63" s="464" t="s">
        <v>193</v>
      </c>
      <c r="F63" s="464"/>
      <c r="G63" s="464"/>
      <c r="H63" s="464"/>
      <c r="I63" s="464"/>
      <c r="J63" s="464"/>
      <c r="K63" s="464"/>
      <c r="L63" s="465"/>
      <c r="N63" s="162"/>
      <c r="T63" s="158"/>
      <c r="U63" s="158"/>
      <c r="V63" s="158"/>
      <c r="Z63" s="158"/>
      <c r="AA63" s="158"/>
      <c r="AB63" s="158"/>
      <c r="AC63" s="158"/>
    </row>
    <row r="64" spans="3:29" s="4" customFormat="1" ht="15" customHeight="1" x14ac:dyDescent="0.25">
      <c r="D64" s="201"/>
      <c r="E64" s="464"/>
      <c r="F64" s="464"/>
      <c r="G64" s="464"/>
      <c r="H64" s="464"/>
      <c r="I64" s="464"/>
      <c r="J64" s="464"/>
      <c r="K64" s="464"/>
      <c r="L64" s="465"/>
      <c r="M64" s="162"/>
      <c r="N64" s="162"/>
      <c r="O64" s="162"/>
      <c r="P64" s="162"/>
      <c r="Q64" s="162"/>
      <c r="T64" s="158"/>
      <c r="U64" s="158"/>
      <c r="V64" s="158"/>
      <c r="Z64" s="158"/>
      <c r="AA64" s="158"/>
      <c r="AB64" s="158"/>
      <c r="AC64" s="158"/>
    </row>
    <row r="65" spans="1:29" s="4" customFormat="1" ht="11.25" customHeight="1" x14ac:dyDescent="0.25">
      <c r="D65" s="201"/>
      <c r="E65" s="464"/>
      <c r="F65" s="464"/>
      <c r="G65" s="464"/>
      <c r="H65" s="464"/>
      <c r="I65" s="464"/>
      <c r="J65" s="464"/>
      <c r="K65" s="464"/>
      <c r="L65" s="465"/>
      <c r="M65" s="162"/>
      <c r="N65" s="162"/>
      <c r="O65" s="162"/>
      <c r="P65" s="162"/>
      <c r="Q65" s="162"/>
      <c r="T65" s="158"/>
      <c r="U65" s="158"/>
      <c r="V65" s="158"/>
      <c r="Z65" s="158"/>
      <c r="AA65" s="158"/>
      <c r="AB65" s="158"/>
      <c r="AC65" s="158"/>
    </row>
    <row r="66" spans="1:29" s="4" customFormat="1" ht="15.75" x14ac:dyDescent="0.25">
      <c r="D66" s="201"/>
      <c r="E66" s="464" t="s">
        <v>87</v>
      </c>
      <c r="F66" s="464"/>
      <c r="G66" s="464"/>
      <c r="H66" s="464"/>
      <c r="I66" s="464"/>
      <c r="J66" s="464"/>
      <c r="K66" s="464"/>
      <c r="L66" s="465"/>
      <c r="M66" s="162"/>
      <c r="N66" s="162"/>
      <c r="O66" s="162"/>
      <c r="P66" s="162"/>
      <c r="Q66" s="162"/>
      <c r="T66" s="158"/>
      <c r="U66" s="158"/>
      <c r="V66" s="158"/>
      <c r="Z66" s="158"/>
      <c r="AA66" s="158"/>
      <c r="AB66" s="158"/>
      <c r="AC66" s="158"/>
    </row>
    <row r="67" spans="1:29" s="4" customFormat="1" ht="15.75" customHeight="1" x14ac:dyDescent="0.25">
      <c r="D67" s="201"/>
      <c r="E67" s="464"/>
      <c r="F67" s="464"/>
      <c r="G67" s="464"/>
      <c r="H67" s="464"/>
      <c r="I67" s="464"/>
      <c r="J67" s="464"/>
      <c r="K67" s="464"/>
      <c r="L67" s="465"/>
      <c r="M67" s="162"/>
      <c r="N67" s="162"/>
      <c r="O67" s="162"/>
      <c r="P67" s="162"/>
      <c r="Q67" s="162"/>
      <c r="T67" s="158"/>
      <c r="U67" s="158"/>
      <c r="V67" s="158"/>
      <c r="Z67" s="158"/>
      <c r="AA67" s="158"/>
      <c r="AB67" s="158"/>
      <c r="AC67" s="158"/>
    </row>
    <row r="68" spans="1:29" s="4" customFormat="1" ht="25.5" customHeight="1" x14ac:dyDescent="0.25">
      <c r="D68" s="202"/>
      <c r="E68" s="203" t="s">
        <v>84</v>
      </c>
      <c r="F68" s="196"/>
      <c r="G68" s="197"/>
      <c r="H68" s="196"/>
      <c r="I68" s="198"/>
      <c r="J68" s="196"/>
      <c r="K68" s="196"/>
      <c r="L68" s="199"/>
      <c r="N68" s="162"/>
      <c r="O68" s="162"/>
      <c r="P68" s="162"/>
      <c r="Q68" s="162"/>
      <c r="T68" s="158"/>
      <c r="U68" s="158"/>
      <c r="V68" s="158"/>
      <c r="Z68" s="158"/>
      <c r="AA68" s="158"/>
      <c r="AB68" s="158"/>
      <c r="AC68" s="158"/>
    </row>
    <row r="69" spans="1:29" s="4" customFormat="1" ht="15.75" thickBot="1" x14ac:dyDescent="0.3">
      <c r="D69" s="187"/>
      <c r="E69" s="188"/>
      <c r="F69" s="189"/>
      <c r="G69" s="189"/>
      <c r="H69" s="189"/>
      <c r="I69" s="190"/>
      <c r="J69" s="189"/>
      <c r="K69" s="189"/>
      <c r="L69" s="191"/>
      <c r="M69" s="162"/>
      <c r="N69" s="162"/>
      <c r="O69" s="162"/>
      <c r="P69" s="162"/>
      <c r="Q69" s="162"/>
      <c r="T69" s="158"/>
      <c r="U69" s="158"/>
      <c r="V69" s="158"/>
      <c r="Z69" s="158"/>
      <c r="AA69" s="158"/>
      <c r="AB69" s="158"/>
      <c r="AC69" s="158"/>
    </row>
    <row r="70" spans="1:29" s="4" customFormat="1" x14ac:dyDescent="0.25">
      <c r="I70" s="159"/>
      <c r="M70" s="157"/>
      <c r="T70" s="158"/>
      <c r="U70" s="158"/>
      <c r="V70" s="158"/>
      <c r="Z70" s="158"/>
      <c r="AA70" s="158"/>
      <c r="AB70" s="158"/>
      <c r="AC70" s="158"/>
    </row>
    <row r="71" spans="1:29" s="92" customFormat="1" x14ac:dyDescent="0.25"/>
    <row r="72" spans="1:29" s="92" customFormat="1" ht="28.5" customHeight="1" thickBot="1" x14ac:dyDescent="0.3">
      <c r="A72" s="137"/>
      <c r="B72" s="138" t="s">
        <v>73</v>
      </c>
      <c r="C72" s="139"/>
      <c r="D72" s="139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</row>
    <row r="73" spans="1:29" s="92" customFormat="1" ht="15.75" thickTop="1" x14ac:dyDescent="0.25"/>
    <row r="74" spans="1:29" s="92" customFormat="1" x14ac:dyDescent="0.25">
      <c r="P74" s="146"/>
    </row>
    <row r="76" spans="1:29" ht="15.75" thickBot="1" x14ac:dyDescent="0.3">
      <c r="D76" s="5"/>
      <c r="E76" s="5"/>
      <c r="F76" s="5"/>
      <c r="G76" s="7"/>
      <c r="H76" s="7"/>
      <c r="I76" s="7"/>
      <c r="J76" s="7"/>
      <c r="K76" s="7"/>
      <c r="L76" s="7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9" x14ac:dyDescent="0.25">
      <c r="D77" s="5"/>
      <c r="E77" s="5"/>
      <c r="F77" s="5"/>
      <c r="G77" s="51" t="s">
        <v>13</v>
      </c>
      <c r="H77" s="52"/>
      <c r="I77" s="52"/>
      <c r="J77" s="52"/>
      <c r="K77" s="53"/>
      <c r="L77" s="7"/>
      <c r="M77" s="51" t="s">
        <v>12</v>
      </c>
      <c r="N77" s="54"/>
      <c r="O77" s="54"/>
      <c r="P77" s="453" t="s">
        <v>3</v>
      </c>
      <c r="Q77" s="455" t="s">
        <v>4</v>
      </c>
      <c r="R77" s="5"/>
      <c r="S77" s="55"/>
      <c r="T77" s="54"/>
      <c r="U77" s="56" t="s">
        <v>9</v>
      </c>
      <c r="V77" s="57">
        <v>0.9</v>
      </c>
      <c r="W77" s="5"/>
      <c r="X77" s="443" t="s">
        <v>14</v>
      </c>
      <c r="Y77" s="444"/>
      <c r="Z77" s="447">
        <v>9.982026606903463E-2</v>
      </c>
      <c r="AA77" s="5"/>
    </row>
    <row r="78" spans="1:29" ht="15" customHeight="1" thickBot="1" x14ac:dyDescent="0.3">
      <c r="D78" s="5"/>
      <c r="E78" s="431">
        <v>42675</v>
      </c>
      <c r="F78" s="5"/>
      <c r="G78" s="58"/>
      <c r="H78" s="6"/>
      <c r="I78" s="461" t="s">
        <v>45</v>
      </c>
      <c r="J78" s="114"/>
      <c r="K78" s="462" t="s">
        <v>4</v>
      </c>
      <c r="L78" s="7"/>
      <c r="M78" s="59"/>
      <c r="N78" s="7" t="s">
        <v>5</v>
      </c>
      <c r="O78" s="7" t="s">
        <v>6</v>
      </c>
      <c r="P78" s="454"/>
      <c r="Q78" s="456"/>
      <c r="R78" s="5"/>
      <c r="S78" s="59"/>
      <c r="T78" s="7"/>
      <c r="U78" s="60" t="s">
        <v>10</v>
      </c>
      <c r="V78" s="61">
        <v>125</v>
      </c>
      <c r="W78" s="5"/>
      <c r="X78" s="445"/>
      <c r="Y78" s="446"/>
      <c r="Z78" s="448"/>
      <c r="AA78" s="5"/>
    </row>
    <row r="79" spans="1:29" ht="15.75" thickBot="1" x14ac:dyDescent="0.3">
      <c r="D79" s="5"/>
      <c r="E79" s="431"/>
      <c r="F79" s="5"/>
      <c r="G79" s="62" t="s">
        <v>5</v>
      </c>
      <c r="H79" s="8" t="s">
        <v>6</v>
      </c>
      <c r="I79" s="461"/>
      <c r="J79" s="114"/>
      <c r="K79" s="462"/>
      <c r="L79" s="7"/>
      <c r="M79" s="59"/>
      <c r="N79" s="7">
        <v>0</v>
      </c>
      <c r="O79" s="7">
        <v>1099</v>
      </c>
      <c r="P79" s="63">
        <v>300</v>
      </c>
      <c r="Q79" s="61">
        <v>50</v>
      </c>
      <c r="R79" s="5"/>
      <c r="S79" s="64"/>
      <c r="T79" s="65"/>
      <c r="U79" s="66" t="s">
        <v>11</v>
      </c>
      <c r="V79" s="67">
        <v>200</v>
      </c>
      <c r="W79" s="5"/>
      <c r="X79" s="5"/>
      <c r="Y79" s="5"/>
      <c r="Z79" s="5"/>
      <c r="AA79" s="5"/>
    </row>
    <row r="80" spans="1:29" ht="15" customHeight="1" x14ac:dyDescent="0.25">
      <c r="D80" s="5"/>
      <c r="E80" s="431"/>
      <c r="F80" s="5"/>
      <c r="G80" s="58">
        <v>2500</v>
      </c>
      <c r="H80" s="9">
        <v>2828.9999999999995</v>
      </c>
      <c r="I80" s="10">
        <v>23278</v>
      </c>
      <c r="J80" s="10"/>
      <c r="K80" s="68">
        <v>1939.8333333333333</v>
      </c>
      <c r="L80" s="7"/>
      <c r="M80" s="59"/>
      <c r="N80" s="7">
        <v>1100</v>
      </c>
      <c r="O80" s="7">
        <v>1599</v>
      </c>
      <c r="P80" s="63">
        <v>2673</v>
      </c>
      <c r="Q80" s="61">
        <v>445.5</v>
      </c>
      <c r="R80" s="5"/>
      <c r="S80" s="7"/>
      <c r="T80" s="69"/>
      <c r="U80" s="7"/>
      <c r="V80" s="7"/>
      <c r="W80" s="5"/>
      <c r="X80" s="443" t="s">
        <v>15</v>
      </c>
      <c r="Y80" s="444"/>
      <c r="Z80" s="447">
        <f>Cashflow!AE63</f>
        <v>0.77372603990308952</v>
      </c>
      <c r="AA80" s="5"/>
    </row>
    <row r="81" spans="4:27" ht="15.75" thickBot="1" x14ac:dyDescent="0.3">
      <c r="D81" s="5"/>
      <c r="E81" s="431"/>
      <c r="F81" s="5"/>
      <c r="G81" s="70">
        <v>2829.9999999999995</v>
      </c>
      <c r="H81" s="6">
        <v>3149</v>
      </c>
      <c r="I81" s="10">
        <v>24190</v>
      </c>
      <c r="J81" s="10"/>
      <c r="K81" s="68">
        <v>2015.8333333333333</v>
      </c>
      <c r="L81" s="7"/>
      <c r="M81" s="59"/>
      <c r="N81" s="7">
        <v>1600</v>
      </c>
      <c r="O81" s="7">
        <v>2499</v>
      </c>
      <c r="P81" s="63">
        <v>3742</v>
      </c>
      <c r="Q81" s="61">
        <v>623.66666666666697</v>
      </c>
      <c r="R81" s="5"/>
      <c r="S81" s="7"/>
      <c r="T81" s="71"/>
      <c r="U81" s="7"/>
      <c r="V81" s="5"/>
      <c r="W81" s="5"/>
      <c r="X81" s="445"/>
      <c r="Y81" s="446"/>
      <c r="Z81" s="448"/>
      <c r="AA81" s="5"/>
    </row>
    <row r="82" spans="4:27" ht="15.75" thickBot="1" x14ac:dyDescent="0.3">
      <c r="D82" s="5"/>
      <c r="E82" s="5"/>
      <c r="F82" s="5"/>
      <c r="G82" s="72">
        <v>3150</v>
      </c>
      <c r="H82" s="73" t="s">
        <v>7</v>
      </c>
      <c r="I82" s="74">
        <v>25100</v>
      </c>
      <c r="J82" s="74"/>
      <c r="K82" s="75">
        <v>2091.6666666666665</v>
      </c>
      <c r="L82" s="7"/>
      <c r="M82" s="64"/>
      <c r="N82" s="65">
        <v>2500</v>
      </c>
      <c r="O82" s="65" t="s">
        <v>7</v>
      </c>
      <c r="P82" s="65">
        <v>0.52200000000000002</v>
      </c>
      <c r="Q82" s="76" t="s">
        <v>8</v>
      </c>
      <c r="R82" s="5"/>
      <c r="S82" s="7"/>
      <c r="T82" s="71"/>
      <c r="U82" s="7"/>
      <c r="V82" s="5"/>
      <c r="W82" s="5"/>
      <c r="X82" s="5"/>
      <c r="Y82" s="5"/>
      <c r="Z82" s="5"/>
      <c r="AA82" s="5"/>
    </row>
    <row r="83" spans="4:27" x14ac:dyDescent="0.25">
      <c r="D83" s="5"/>
      <c r="E83" s="5"/>
      <c r="F83" s="5"/>
      <c r="G83" s="7"/>
      <c r="H83" s="7"/>
      <c r="I83" s="7"/>
      <c r="J83" s="7"/>
      <c r="K83" s="7"/>
      <c r="L83" s="7"/>
      <c r="M83" s="5"/>
      <c r="N83" s="5"/>
      <c r="O83" s="5"/>
      <c r="P83" s="77"/>
      <c r="Q83" s="5"/>
      <c r="R83" s="7"/>
      <c r="S83" s="7"/>
      <c r="T83" s="71"/>
      <c r="U83" s="7"/>
      <c r="V83" s="5"/>
      <c r="W83" s="5"/>
      <c r="X83" s="5"/>
      <c r="Y83" s="5"/>
      <c r="Z83" s="5"/>
      <c r="AA83" s="5"/>
    </row>
    <row r="84" spans="4:27" ht="8.25" customHeight="1" x14ac:dyDescent="0.25">
      <c r="G84" s="4"/>
      <c r="H84" s="4"/>
      <c r="I84" s="4"/>
      <c r="J84" s="4"/>
      <c r="K84" s="4"/>
      <c r="L84" s="4"/>
      <c r="P84" s="35"/>
      <c r="R84" s="4"/>
      <c r="S84" s="4"/>
      <c r="T84" s="38"/>
      <c r="U84" s="4"/>
    </row>
    <row r="85" spans="4:27" ht="21.75" customHeight="1" thickBot="1" x14ac:dyDescent="0.3">
      <c r="D85" s="17"/>
      <c r="E85" s="17"/>
      <c r="F85" s="17"/>
      <c r="G85" s="19"/>
      <c r="H85" s="19"/>
      <c r="I85" s="19"/>
      <c r="J85" s="19"/>
      <c r="K85" s="19"/>
      <c r="L85" s="19"/>
      <c r="M85" s="17"/>
      <c r="N85" s="17"/>
      <c r="O85" s="17"/>
      <c r="P85" s="34"/>
      <c r="Q85" s="17"/>
      <c r="R85" s="19"/>
      <c r="S85" s="19"/>
      <c r="T85" s="37"/>
      <c r="U85" s="19"/>
      <c r="V85" s="17"/>
      <c r="W85" s="17"/>
      <c r="X85" s="17"/>
      <c r="Y85" s="17"/>
      <c r="Z85" s="17"/>
      <c r="AA85" s="17"/>
    </row>
    <row r="86" spans="4:27" x14ac:dyDescent="0.25">
      <c r="D86" s="17"/>
      <c r="E86" s="17"/>
      <c r="F86" s="17"/>
      <c r="G86" s="23" t="s">
        <v>16</v>
      </c>
      <c r="H86" s="24"/>
      <c r="I86" s="24"/>
      <c r="J86" s="24"/>
      <c r="K86" s="25"/>
      <c r="L86" s="19"/>
      <c r="M86" s="17"/>
      <c r="N86" s="17"/>
      <c r="O86" s="17"/>
      <c r="P86" s="34"/>
      <c r="Q86" s="17"/>
      <c r="R86" s="19"/>
      <c r="S86" s="19"/>
      <c r="T86" s="37"/>
      <c r="U86" s="19"/>
      <c r="V86" s="17"/>
      <c r="W86" s="17"/>
      <c r="X86" s="449" t="s">
        <v>14</v>
      </c>
      <c r="Y86" s="450"/>
      <c r="Z86" s="433">
        <v>9.982026606903463E-2</v>
      </c>
      <c r="AA86" s="17"/>
    </row>
    <row r="87" spans="4:27" ht="15.75" thickBot="1" x14ac:dyDescent="0.3">
      <c r="D87" s="17"/>
      <c r="E87" s="432" t="s">
        <v>19</v>
      </c>
      <c r="F87" s="17"/>
      <c r="G87" s="26"/>
      <c r="H87" s="18"/>
      <c r="I87" s="429" t="s">
        <v>46</v>
      </c>
      <c r="J87" s="115"/>
      <c r="K87" s="430" t="s">
        <v>4</v>
      </c>
      <c r="L87" s="19"/>
      <c r="M87" s="17"/>
      <c r="N87" s="17"/>
      <c r="O87" s="17"/>
      <c r="P87" s="34"/>
      <c r="Q87" s="17"/>
      <c r="R87" s="19"/>
      <c r="S87" s="19"/>
      <c r="T87" s="39"/>
      <c r="U87" s="19"/>
      <c r="V87" s="17"/>
      <c r="W87" s="17"/>
      <c r="X87" s="451"/>
      <c r="Y87" s="452"/>
      <c r="Z87" s="434"/>
      <c r="AA87" s="17"/>
    </row>
    <row r="88" spans="4:27" ht="15" customHeight="1" thickBot="1" x14ac:dyDescent="0.3">
      <c r="D88" s="17"/>
      <c r="E88" s="432"/>
      <c r="F88" s="17"/>
      <c r="G88" s="27" t="s">
        <v>5</v>
      </c>
      <c r="H88" s="20" t="s">
        <v>6</v>
      </c>
      <c r="I88" s="429"/>
      <c r="J88" s="115"/>
      <c r="K88" s="430"/>
      <c r="L88" s="19"/>
      <c r="M88" s="17"/>
      <c r="N88" s="17"/>
      <c r="O88" s="17"/>
      <c r="P88" s="435" t="s">
        <v>18</v>
      </c>
      <c r="Q88" s="436"/>
      <c r="R88" s="436"/>
      <c r="S88" s="439">
        <v>1.1299999999999999</v>
      </c>
      <c r="T88" s="440"/>
      <c r="U88" s="36"/>
      <c r="V88" s="19"/>
      <c r="W88" s="17"/>
      <c r="X88" s="17"/>
      <c r="Y88" s="17"/>
      <c r="Z88" s="17"/>
      <c r="AA88" s="17"/>
    </row>
    <row r="89" spans="4:27" ht="15" customHeight="1" thickBot="1" x14ac:dyDescent="0.3">
      <c r="D89" s="17"/>
      <c r="E89" s="432"/>
      <c r="F89" s="17"/>
      <c r="G89" s="26">
        <v>2500</v>
      </c>
      <c r="H89" s="21">
        <v>2828.9999999999995</v>
      </c>
      <c r="I89" s="22">
        <v>18622.399999999998</v>
      </c>
      <c r="J89" s="22"/>
      <c r="K89" s="28">
        <v>1551.8666666666666</v>
      </c>
      <c r="L89" s="19"/>
      <c r="M89" s="17"/>
      <c r="N89" s="17"/>
      <c r="O89" s="17"/>
      <c r="P89" s="437"/>
      <c r="Q89" s="438"/>
      <c r="R89" s="438"/>
      <c r="S89" s="441"/>
      <c r="T89" s="442"/>
      <c r="U89" s="36"/>
      <c r="V89" s="17"/>
      <c r="W89" s="17"/>
      <c r="X89" s="449" t="s">
        <v>15</v>
      </c>
      <c r="Y89" s="450"/>
      <c r="Z89" s="433">
        <f>Cashflow!AE63</f>
        <v>0.77372603990308952</v>
      </c>
      <c r="AA89" s="17"/>
    </row>
    <row r="90" spans="4:27" ht="15.75" thickBot="1" x14ac:dyDescent="0.3">
      <c r="D90" s="17"/>
      <c r="E90" s="432"/>
      <c r="F90" s="17"/>
      <c r="G90" s="29">
        <v>2829.9999999999995</v>
      </c>
      <c r="H90" s="18">
        <v>3149</v>
      </c>
      <c r="I90" s="22">
        <v>19352</v>
      </c>
      <c r="J90" s="22"/>
      <c r="K90" s="28">
        <v>1612.6666666666667</v>
      </c>
      <c r="L90" s="19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451"/>
      <c r="Y90" s="452"/>
      <c r="Z90" s="434"/>
      <c r="AA90" s="17"/>
    </row>
    <row r="91" spans="4:27" ht="15.75" thickBot="1" x14ac:dyDescent="0.3">
      <c r="D91" s="17"/>
      <c r="E91" s="17"/>
      <c r="F91" s="17"/>
      <c r="G91" s="30">
        <v>3150</v>
      </c>
      <c r="H91" s="31" t="s">
        <v>7</v>
      </c>
      <c r="I91" s="32">
        <v>20080</v>
      </c>
      <c r="J91" s="32"/>
      <c r="K91" s="33">
        <v>1673.3333333333333</v>
      </c>
      <c r="L91" s="19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4:27" s="92" customFormat="1" x14ac:dyDescent="0.25">
      <c r="D92" s="17"/>
      <c r="E92" s="17"/>
      <c r="F92" s="17"/>
      <c r="G92" s="18"/>
      <c r="H92" s="18"/>
      <c r="I92" s="22"/>
      <c r="J92" s="22"/>
      <c r="K92" s="22"/>
      <c r="L92" s="19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9"/>
      <c r="Y92" s="151"/>
      <c r="Z92" s="152"/>
      <c r="AA92" s="17"/>
    </row>
    <row r="93" spans="4:27" s="92" customFormat="1" x14ac:dyDescent="0.25">
      <c r="G93" s="2"/>
      <c r="H93" s="2"/>
      <c r="I93" s="3"/>
      <c r="J93" s="3"/>
      <c r="K93" s="3"/>
      <c r="L93" s="4"/>
      <c r="X93" s="4"/>
      <c r="Y93" s="4"/>
      <c r="Z93" s="4"/>
    </row>
    <row r="94" spans="4:27" ht="9" customHeight="1" x14ac:dyDescent="0.25">
      <c r="G94" s="2"/>
      <c r="H94" s="2"/>
      <c r="I94" s="3"/>
      <c r="J94" s="3"/>
      <c r="K94" s="3"/>
      <c r="L94" s="4"/>
    </row>
    <row r="95" spans="4:27" ht="15.75" thickBot="1" x14ac:dyDescent="0.3">
      <c r="D95" s="11"/>
      <c r="E95" s="11"/>
      <c r="F95" s="11"/>
      <c r="G95" s="12"/>
      <c r="H95" s="12"/>
      <c r="I95" s="16"/>
      <c r="J95" s="16"/>
      <c r="K95" s="16"/>
      <c r="L95" s="1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4:27" x14ac:dyDescent="0.25">
      <c r="D96" s="11"/>
      <c r="E96" s="11"/>
      <c r="F96" s="11"/>
      <c r="G96" s="41" t="s">
        <v>17</v>
      </c>
      <c r="H96" s="42"/>
      <c r="I96" s="42"/>
      <c r="J96" s="42"/>
      <c r="K96" s="78"/>
      <c r="L96" s="13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421" t="s">
        <v>14</v>
      </c>
      <c r="Y96" s="422"/>
      <c r="Z96" s="425">
        <v>9.7741465743192202E-2</v>
      </c>
      <c r="AA96" s="11"/>
    </row>
    <row r="97" spans="4:27" ht="15.75" thickBot="1" x14ac:dyDescent="0.3">
      <c r="D97" s="11"/>
      <c r="E97" s="412" t="s">
        <v>20</v>
      </c>
      <c r="F97" s="11"/>
      <c r="G97" s="43"/>
      <c r="H97" s="12"/>
      <c r="I97" s="427" t="s">
        <v>46</v>
      </c>
      <c r="J97" s="116"/>
      <c r="K97" s="428" t="s">
        <v>4</v>
      </c>
      <c r="L97" s="13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423"/>
      <c r="Y97" s="424"/>
      <c r="Z97" s="426"/>
      <c r="AA97" s="11"/>
    </row>
    <row r="98" spans="4:27" ht="15" customHeight="1" thickBot="1" x14ac:dyDescent="0.3">
      <c r="D98" s="11"/>
      <c r="E98" s="412"/>
      <c r="F98" s="11"/>
      <c r="G98" s="44" t="s">
        <v>5</v>
      </c>
      <c r="H98" s="14" t="s">
        <v>6</v>
      </c>
      <c r="I98" s="427"/>
      <c r="J98" s="116"/>
      <c r="K98" s="428"/>
      <c r="L98" s="13"/>
      <c r="M98" s="11"/>
      <c r="N98" s="11"/>
      <c r="O98" s="79"/>
      <c r="P98" s="413" t="s">
        <v>18</v>
      </c>
      <c r="Q98" s="414"/>
      <c r="R98" s="414"/>
      <c r="S98" s="417">
        <v>1.25</v>
      </c>
      <c r="T98" s="418"/>
      <c r="U98" s="11"/>
      <c r="V98" s="11"/>
      <c r="W98" s="11"/>
      <c r="X98" s="11"/>
      <c r="Y98" s="11"/>
      <c r="Z98" s="11"/>
      <c r="AA98" s="11"/>
    </row>
    <row r="99" spans="4:27" ht="15.75" customHeight="1" thickBot="1" x14ac:dyDescent="0.3">
      <c r="D99" s="11"/>
      <c r="E99" s="412"/>
      <c r="F99" s="11"/>
      <c r="G99" s="43">
        <v>2500</v>
      </c>
      <c r="H99" s="15">
        <v>2828.9999999999995</v>
      </c>
      <c r="I99" s="16">
        <v>13966.8</v>
      </c>
      <c r="J99" s="16"/>
      <c r="K99" s="45">
        <v>1163.8999999999999</v>
      </c>
      <c r="L99" s="13"/>
      <c r="M99" s="11"/>
      <c r="N99" s="11"/>
      <c r="O99" s="79"/>
      <c r="P99" s="415"/>
      <c r="Q99" s="416"/>
      <c r="R99" s="416"/>
      <c r="S99" s="419"/>
      <c r="T99" s="420"/>
      <c r="U99" s="11"/>
      <c r="V99" s="11"/>
      <c r="W99" s="11"/>
      <c r="X99" s="421" t="s">
        <v>15</v>
      </c>
      <c r="Y99" s="422"/>
      <c r="Z99" s="425">
        <f>Cashflow!AE74</f>
        <v>0.75855494108146038</v>
      </c>
      <c r="AA99" s="11"/>
    </row>
    <row r="100" spans="4:27" ht="15.75" thickBot="1" x14ac:dyDescent="0.3">
      <c r="D100" s="11"/>
      <c r="E100" s="412"/>
      <c r="F100" s="11"/>
      <c r="G100" s="46">
        <v>2829.9999999999995</v>
      </c>
      <c r="H100" s="12">
        <v>3149</v>
      </c>
      <c r="I100" s="16">
        <v>14514</v>
      </c>
      <c r="J100" s="16"/>
      <c r="K100" s="45">
        <v>1209.5</v>
      </c>
      <c r="L100" s="13"/>
      <c r="M100" s="11"/>
      <c r="N100" s="11"/>
      <c r="O100" s="13"/>
      <c r="P100" s="11"/>
      <c r="Q100" s="11"/>
      <c r="R100" s="11"/>
      <c r="S100" s="11"/>
      <c r="T100" s="11"/>
      <c r="U100" s="11"/>
      <c r="V100" s="11"/>
      <c r="W100" s="11"/>
      <c r="X100" s="423"/>
      <c r="Y100" s="424"/>
      <c r="Z100" s="426"/>
      <c r="AA100" s="11"/>
    </row>
    <row r="101" spans="4:27" ht="15.75" thickBot="1" x14ac:dyDescent="0.3">
      <c r="D101" s="11"/>
      <c r="E101" s="11"/>
      <c r="F101" s="11"/>
      <c r="G101" s="47">
        <v>3150</v>
      </c>
      <c r="H101" s="48" t="s">
        <v>7</v>
      </c>
      <c r="I101" s="49">
        <v>15060</v>
      </c>
      <c r="J101" s="49"/>
      <c r="K101" s="50">
        <v>1255</v>
      </c>
      <c r="L101" s="13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4:27" x14ac:dyDescent="0.25"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3"/>
      <c r="Y102" s="153"/>
      <c r="Z102" s="154"/>
      <c r="AA102" s="11"/>
    </row>
    <row r="103" spans="4:27" s="92" customFormat="1" x14ac:dyDescent="0.25"/>
    <row r="104" spans="4:27" x14ac:dyDescent="0.25">
      <c r="Z104" s="335"/>
    </row>
    <row r="105" spans="4:27" x14ac:dyDescent="0.25">
      <c r="Z105" s="335"/>
    </row>
  </sheetData>
  <sheetProtection sheet="1" objects="1" scenarios="1"/>
  <mergeCells count="63">
    <mergeCell ref="E14:F14"/>
    <mergeCell ref="H14:I14"/>
    <mergeCell ref="N28:O29"/>
    <mergeCell ref="J39:K39"/>
    <mergeCell ref="L39:M39"/>
    <mergeCell ref="N30:O30"/>
    <mergeCell ref="J28:K28"/>
    <mergeCell ref="L28:M28"/>
    <mergeCell ref="N32:O32"/>
    <mergeCell ref="N33:O33"/>
    <mergeCell ref="N31:O31"/>
    <mergeCell ref="E30:H30"/>
    <mergeCell ref="J29:K29"/>
    <mergeCell ref="N34:O34"/>
    <mergeCell ref="N36:O36"/>
    <mergeCell ref="N37:O37"/>
    <mergeCell ref="L29:M29"/>
    <mergeCell ref="E36:H36"/>
    <mergeCell ref="E37:H37"/>
    <mergeCell ref="E32:H32"/>
    <mergeCell ref="E31:H31"/>
    <mergeCell ref="E33:H33"/>
    <mergeCell ref="E34:H34"/>
    <mergeCell ref="J41:K41"/>
    <mergeCell ref="L41:M41"/>
    <mergeCell ref="N35:O35"/>
    <mergeCell ref="J38:K38"/>
    <mergeCell ref="I78:I79"/>
    <mergeCell ref="K78:K79"/>
    <mergeCell ref="L48:M48"/>
    <mergeCell ref="E63:L65"/>
    <mergeCell ref="E66:L67"/>
    <mergeCell ref="E35:H35"/>
    <mergeCell ref="J48:K48"/>
    <mergeCell ref="L45:M45"/>
    <mergeCell ref="L38:M38"/>
    <mergeCell ref="L44:M44"/>
    <mergeCell ref="L43:M43"/>
    <mergeCell ref="I87:I88"/>
    <mergeCell ref="K87:K88"/>
    <mergeCell ref="E78:E81"/>
    <mergeCell ref="E87:E90"/>
    <mergeCell ref="Z89:Z90"/>
    <mergeCell ref="P88:R89"/>
    <mergeCell ref="S88:T89"/>
    <mergeCell ref="X77:Y78"/>
    <mergeCell ref="Z77:Z78"/>
    <mergeCell ref="X80:Y81"/>
    <mergeCell ref="Z80:Z81"/>
    <mergeCell ref="X86:Y87"/>
    <mergeCell ref="Z86:Z87"/>
    <mergeCell ref="X89:Y90"/>
    <mergeCell ref="P77:P78"/>
    <mergeCell ref="Q77:Q78"/>
    <mergeCell ref="E97:E100"/>
    <mergeCell ref="P98:R99"/>
    <mergeCell ref="S98:T99"/>
    <mergeCell ref="X96:Y97"/>
    <mergeCell ref="Z96:Z97"/>
    <mergeCell ref="X99:Y100"/>
    <mergeCell ref="Z99:Z100"/>
    <mergeCell ref="I97:I98"/>
    <mergeCell ref="K97:K98"/>
  </mergeCells>
  <dataValidations count="1">
    <dataValidation type="list" allowBlank="1" showInputMessage="1" showErrorMessage="1" sqref="F6">
      <formula1>"Yes,No"</formula1>
    </dataValidation>
  </dataValidations>
  <pageMargins left="0.7" right="0.7" top="0.75" bottom="0.75" header="0.3" footer="0.3"/>
  <pageSetup paperSize="9" orientation="portrait" r:id="rId1"/>
  <ignoredErrors>
    <ignoredError sqref="I52:I54 N36 T36:U36" formula="1"/>
    <ignoredError sqref="K30:K34 M30:M3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8</xdr:col>
                    <xdr:colOff>628650</xdr:colOff>
                    <xdr:row>21</xdr:row>
                    <xdr:rowOff>266700</xdr:rowOff>
                  </from>
                  <to>
                    <xdr:col>8</xdr:col>
                    <xdr:colOff>990600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8</xdr:col>
                    <xdr:colOff>628650</xdr:colOff>
                    <xdr:row>22</xdr:row>
                    <xdr:rowOff>295275</xdr:rowOff>
                  </from>
                  <to>
                    <xdr:col>8</xdr:col>
                    <xdr:colOff>904875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8</xdr:col>
                    <xdr:colOff>619125</xdr:colOff>
                    <xdr:row>23</xdr:row>
                    <xdr:rowOff>257175</xdr:rowOff>
                  </from>
                  <to>
                    <xdr:col>8</xdr:col>
                    <xdr:colOff>1000125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8</xdr:col>
                    <xdr:colOff>619125</xdr:colOff>
                    <xdr:row>24</xdr:row>
                    <xdr:rowOff>247650</xdr:rowOff>
                  </from>
                  <to>
                    <xdr:col>8</xdr:col>
                    <xdr:colOff>1028700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9</xdr:col>
                    <xdr:colOff>771525</xdr:colOff>
                    <xdr:row>29</xdr:row>
                    <xdr:rowOff>28575</xdr:rowOff>
                  </from>
                  <to>
                    <xdr:col>10</xdr:col>
                    <xdr:colOff>552450</xdr:colOff>
                    <xdr:row>29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11</xdr:col>
                    <xdr:colOff>809625</xdr:colOff>
                    <xdr:row>29</xdr:row>
                    <xdr:rowOff>38100</xdr:rowOff>
                  </from>
                  <to>
                    <xdr:col>12</xdr:col>
                    <xdr:colOff>219075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9</xdr:col>
                    <xdr:colOff>771525</xdr:colOff>
                    <xdr:row>30</xdr:row>
                    <xdr:rowOff>19050</xdr:rowOff>
                  </from>
                  <to>
                    <xdr:col>10</xdr:col>
                    <xdr:colOff>457200</xdr:colOff>
                    <xdr:row>30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11</xdr:col>
                    <xdr:colOff>809625</xdr:colOff>
                    <xdr:row>30</xdr:row>
                    <xdr:rowOff>9525</xdr:rowOff>
                  </from>
                  <to>
                    <xdr:col>12</xdr:col>
                    <xdr:colOff>266700</xdr:colOff>
                    <xdr:row>30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9</xdr:col>
                    <xdr:colOff>771525</xdr:colOff>
                    <xdr:row>31</xdr:row>
                    <xdr:rowOff>28575</xdr:rowOff>
                  </from>
                  <to>
                    <xdr:col>10</xdr:col>
                    <xdr:colOff>200025</xdr:colOff>
                    <xdr:row>31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11</xdr:col>
                    <xdr:colOff>800100</xdr:colOff>
                    <xdr:row>31</xdr:row>
                    <xdr:rowOff>9525</xdr:rowOff>
                  </from>
                  <to>
                    <xdr:col>12</xdr:col>
                    <xdr:colOff>142875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9</xdr:col>
                    <xdr:colOff>781050</xdr:colOff>
                    <xdr:row>32</xdr:row>
                    <xdr:rowOff>19050</xdr:rowOff>
                  </from>
                  <to>
                    <xdr:col>10</xdr:col>
                    <xdr:colOff>171450</xdr:colOff>
                    <xdr:row>32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11</xdr:col>
                    <xdr:colOff>800100</xdr:colOff>
                    <xdr:row>31</xdr:row>
                    <xdr:rowOff>542925</xdr:rowOff>
                  </from>
                  <to>
                    <xdr:col>12</xdr:col>
                    <xdr:colOff>123825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9</xdr:col>
                    <xdr:colOff>781050</xdr:colOff>
                    <xdr:row>32</xdr:row>
                    <xdr:rowOff>523875</xdr:rowOff>
                  </from>
                  <to>
                    <xdr:col>10</xdr:col>
                    <xdr:colOff>219075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Check Box 23">
              <controlPr defaultSize="0" autoFill="0" autoLine="0" autoPict="0">
                <anchor moveWithCells="1">
                  <from>
                    <xdr:col>11</xdr:col>
                    <xdr:colOff>800100</xdr:colOff>
                    <xdr:row>33</xdr:row>
                    <xdr:rowOff>9525</xdr:rowOff>
                  </from>
                  <to>
                    <xdr:col>12</xdr:col>
                    <xdr:colOff>190500</xdr:colOff>
                    <xdr:row>33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Drop Down 26">
              <controlPr defaultSize="0" autoLine="0" autoPict="0">
                <anchor moveWithCells="1">
                  <from>
                    <xdr:col>9</xdr:col>
                    <xdr:colOff>809625</xdr:colOff>
                    <xdr:row>34</xdr:row>
                    <xdr:rowOff>114300</xdr:rowOff>
                  </from>
                  <to>
                    <xdr:col>12</xdr:col>
                    <xdr:colOff>76200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Drop Down 27">
              <controlPr defaultSize="0" autoLine="0" autoPict="0">
                <anchor moveWithCells="1">
                  <from>
                    <xdr:col>9</xdr:col>
                    <xdr:colOff>819150</xdr:colOff>
                    <xdr:row>35</xdr:row>
                    <xdr:rowOff>123825</xdr:rowOff>
                  </from>
                  <to>
                    <xdr:col>12</xdr:col>
                    <xdr:colOff>76200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Drop Down 28">
              <controlPr defaultSize="0" autoLine="0" autoPict="0">
                <anchor moveWithCells="1">
                  <from>
                    <xdr:col>9</xdr:col>
                    <xdr:colOff>828675</xdr:colOff>
                    <xdr:row>36</xdr:row>
                    <xdr:rowOff>152400</xdr:rowOff>
                  </from>
                  <to>
                    <xdr:col>12</xdr:col>
                    <xdr:colOff>85725</xdr:colOff>
                    <xdr:row>36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</sheetPr>
  <dimension ref="A2:AT112"/>
  <sheetViews>
    <sheetView topLeftCell="N19" zoomScale="80" zoomScaleNormal="80" workbookViewId="0">
      <selection activeCell="AD102" sqref="AD102"/>
    </sheetView>
    <sheetView workbookViewId="1"/>
  </sheetViews>
  <sheetFormatPr defaultRowHeight="15" x14ac:dyDescent="0.25"/>
  <cols>
    <col min="1" max="1" width="9.140625" style="92"/>
    <col min="2" max="2" width="7.7109375" style="140" customWidth="1"/>
    <col min="3" max="3" width="28.140625" style="140" customWidth="1"/>
    <col min="4" max="4" width="10.140625" style="140" customWidth="1"/>
    <col min="5" max="5" width="10.5703125" style="140" customWidth="1"/>
    <col min="6" max="7" width="10.140625" style="140" customWidth="1"/>
    <col min="8" max="15" width="10.140625" style="92" customWidth="1"/>
    <col min="16" max="16" width="10.42578125" style="92" customWidth="1"/>
    <col min="17" max="25" width="10.140625" style="92" customWidth="1"/>
    <col min="26" max="26" width="14.28515625" style="92" customWidth="1"/>
    <col min="27" max="27" width="11.42578125" style="92" customWidth="1"/>
    <col min="28" max="28" width="11.28515625" style="92" customWidth="1"/>
    <col min="29" max="29" width="12.140625" style="92" customWidth="1"/>
    <col min="30" max="30" width="23.28515625" style="92" customWidth="1"/>
    <col min="31" max="31" width="15.28515625" style="92" customWidth="1"/>
    <col min="32" max="32" width="21.140625" style="92" customWidth="1"/>
    <col min="33" max="33" width="6.5703125" style="92" customWidth="1"/>
    <col min="34" max="34" width="14.85546875" style="92" customWidth="1"/>
    <col min="35" max="36" width="12" style="92" customWidth="1"/>
    <col min="37" max="37" width="32.140625" style="92" customWidth="1"/>
    <col min="38" max="38" width="9" style="92" customWidth="1"/>
    <col min="39" max="39" width="13.7109375" style="92" customWidth="1"/>
    <col min="40" max="40" width="9.140625" style="92"/>
    <col min="41" max="41" width="7.85546875" style="92" customWidth="1"/>
    <col min="42" max="42" width="6.5703125" style="92" bestFit="1" customWidth="1"/>
    <col min="43" max="16384" width="9.140625" style="92"/>
  </cols>
  <sheetData>
    <row r="2" spans="1:39" ht="21" x14ac:dyDescent="0.25">
      <c r="C2" s="142" t="s">
        <v>97</v>
      </c>
    </row>
    <row r="4" spans="1:39" ht="30.75" customHeight="1" x14ac:dyDescent="0.25">
      <c r="C4" s="480" t="s">
        <v>182</v>
      </c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</row>
    <row r="6" spans="1:39" x14ac:dyDescent="0.25">
      <c r="C6" s="482" t="s">
        <v>185</v>
      </c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</row>
    <row r="8" spans="1:39" ht="15.75" thickBot="1" x14ac:dyDescent="0.3">
      <c r="B8" s="92"/>
      <c r="D8" s="140" t="s">
        <v>98</v>
      </c>
      <c r="E8" s="221">
        <f>Calculator!F4</f>
        <v>7000</v>
      </c>
      <c r="F8" s="222" t="s">
        <v>99</v>
      </c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</row>
    <row r="9" spans="1:39" ht="18.75" thickTop="1" thickBot="1" x14ac:dyDescent="0.3">
      <c r="B9" s="92"/>
      <c r="F9" s="223"/>
      <c r="G9" s="223"/>
      <c r="H9" s="483" t="s">
        <v>100</v>
      </c>
      <c r="I9" s="484"/>
      <c r="J9" s="484"/>
      <c r="K9" s="484"/>
      <c r="L9" s="484"/>
      <c r="M9" s="485"/>
      <c r="N9" s="483" t="s">
        <v>101</v>
      </c>
      <c r="O9" s="484"/>
      <c r="P9" s="484"/>
      <c r="Q9" s="484"/>
      <c r="R9" s="484"/>
      <c r="S9" s="485"/>
      <c r="T9" s="483" t="s">
        <v>102</v>
      </c>
      <c r="U9" s="484"/>
      <c r="V9" s="484"/>
      <c r="W9" s="484"/>
      <c r="X9" s="484"/>
      <c r="Y9" s="485"/>
      <c r="AA9" s="224" t="s">
        <v>103</v>
      </c>
    </row>
    <row r="10" spans="1:39" ht="16.5" customHeight="1" thickTop="1" x14ac:dyDescent="0.25">
      <c r="B10" s="92"/>
      <c r="D10" s="223"/>
      <c r="E10" s="225" t="s">
        <v>104</v>
      </c>
      <c r="F10" s="223"/>
      <c r="G10" s="223"/>
      <c r="H10" s="223"/>
      <c r="I10" s="223"/>
      <c r="J10" s="223"/>
      <c r="K10" s="223"/>
      <c r="L10" s="223"/>
      <c r="M10" s="223"/>
      <c r="T10" s="223"/>
      <c r="U10" s="223"/>
      <c r="V10" s="223"/>
      <c r="W10" s="223"/>
      <c r="X10" s="223"/>
      <c r="Y10" s="223"/>
      <c r="AA10" s="40" t="s">
        <v>105</v>
      </c>
    </row>
    <row r="11" spans="1:39" ht="15.75" thickBot="1" x14ac:dyDescent="0.3">
      <c r="B11" s="226"/>
      <c r="C11" s="227" t="s">
        <v>106</v>
      </c>
      <c r="D11" s="228">
        <v>42339</v>
      </c>
      <c r="E11" s="229">
        <v>42370</v>
      </c>
      <c r="F11" s="228">
        <v>42401</v>
      </c>
      <c r="G11" s="228">
        <v>42430</v>
      </c>
      <c r="H11" s="228">
        <v>42461</v>
      </c>
      <c r="I11" s="228">
        <v>42491</v>
      </c>
      <c r="J11" s="228">
        <v>42522</v>
      </c>
      <c r="K11" s="228">
        <v>42552</v>
      </c>
      <c r="L11" s="228">
        <v>42583</v>
      </c>
      <c r="M11" s="228">
        <v>42614</v>
      </c>
      <c r="N11" s="228">
        <v>42644</v>
      </c>
      <c r="O11" s="228">
        <v>42675</v>
      </c>
      <c r="P11" s="228">
        <v>42705</v>
      </c>
      <c r="Q11" s="228">
        <v>42736</v>
      </c>
      <c r="R11" s="228">
        <v>42767</v>
      </c>
      <c r="S11" s="228">
        <v>42795</v>
      </c>
      <c r="T11" s="228">
        <v>42826</v>
      </c>
      <c r="U11" s="228">
        <v>42856</v>
      </c>
      <c r="V11" s="228">
        <v>42887</v>
      </c>
      <c r="W11" s="228">
        <v>42917</v>
      </c>
      <c r="X11" s="228">
        <v>42948</v>
      </c>
      <c r="Y11" s="228">
        <v>42979</v>
      </c>
      <c r="AA11" s="230" t="s">
        <v>107</v>
      </c>
    </row>
    <row r="12" spans="1:39" ht="21.75" customHeight="1" thickBot="1" x14ac:dyDescent="0.3">
      <c r="D12" s="231" t="s">
        <v>184</v>
      </c>
      <c r="AA12" s="230" t="s">
        <v>108</v>
      </c>
    </row>
    <row r="13" spans="1:39" s="232" customFormat="1" ht="22.5" customHeight="1" thickTop="1" thickBot="1" x14ac:dyDescent="0.3">
      <c r="B13" s="92"/>
      <c r="C13" s="181" t="s">
        <v>109</v>
      </c>
      <c r="D13" s="380">
        <v>9.57</v>
      </c>
      <c r="E13" s="381">
        <v>9.39</v>
      </c>
      <c r="F13" s="382">
        <v>9.36</v>
      </c>
      <c r="G13" s="383">
        <v>9.36</v>
      </c>
      <c r="H13" s="384">
        <v>9.36</v>
      </c>
      <c r="I13" s="385">
        <v>9.35</v>
      </c>
      <c r="J13" s="386">
        <v>9.2100000000000009</v>
      </c>
      <c r="K13" s="387">
        <v>9.23</v>
      </c>
      <c r="L13" s="380">
        <v>9.11</v>
      </c>
      <c r="M13" s="381">
        <v>9.16</v>
      </c>
      <c r="N13" s="378">
        <f t="shared" ref="N13:O13" si="0">M13+Q33</f>
        <v>9.2439999999999998</v>
      </c>
      <c r="O13" s="235">
        <f t="shared" si="0"/>
        <v>9.2439999999999998</v>
      </c>
      <c r="P13" s="236">
        <f>O13+S33</f>
        <v>8.8458095238095229</v>
      </c>
      <c r="Q13" s="237">
        <f t="shared" ref="Q13:R13" si="1">P13+T33</f>
        <v>8.8458095238095229</v>
      </c>
      <c r="R13" s="238">
        <f t="shared" si="1"/>
        <v>8.8458095238095229</v>
      </c>
      <c r="S13" s="239">
        <f>R13+V33</f>
        <v>8.8458095238095229</v>
      </c>
      <c r="T13" s="240">
        <f>S13+W33</f>
        <v>8.890876520225989</v>
      </c>
      <c r="U13" s="233">
        <f>T13+X33</f>
        <v>8.890876520225989</v>
      </c>
      <c r="V13" s="234">
        <f>U13+Y33</f>
        <v>8.890876520225989</v>
      </c>
      <c r="W13" s="235">
        <f>V13</f>
        <v>8.890876520225989</v>
      </c>
      <c r="X13" s="236">
        <f>W13</f>
        <v>8.890876520225989</v>
      </c>
      <c r="Y13" s="237">
        <f>X13</f>
        <v>8.890876520225989</v>
      </c>
      <c r="Z13" s="92"/>
      <c r="AA13" s="224" t="s">
        <v>110</v>
      </c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</row>
    <row r="14" spans="1:39" s="232" customFormat="1" ht="22.5" customHeight="1" thickTop="1" thickBot="1" x14ac:dyDescent="0.3">
      <c r="B14" s="241"/>
      <c r="C14" s="232" t="s">
        <v>111</v>
      </c>
      <c r="D14" s="242"/>
      <c r="E14" s="243">
        <f>E8</f>
        <v>7000</v>
      </c>
      <c r="F14" s="244">
        <f>E14</f>
        <v>7000</v>
      </c>
      <c r="G14" s="245">
        <f t="shared" ref="G14:Y14" si="2">F14</f>
        <v>7000</v>
      </c>
      <c r="H14" s="246">
        <f t="shared" si="2"/>
        <v>7000</v>
      </c>
      <c r="I14" s="247">
        <f t="shared" si="2"/>
        <v>7000</v>
      </c>
      <c r="J14" s="248">
        <f t="shared" si="2"/>
        <v>7000</v>
      </c>
      <c r="K14" s="249">
        <f t="shared" si="2"/>
        <v>7000</v>
      </c>
      <c r="L14" s="379">
        <f t="shared" si="2"/>
        <v>7000</v>
      </c>
      <c r="M14" s="243">
        <f t="shared" si="2"/>
        <v>7000</v>
      </c>
      <c r="N14" s="252">
        <f t="shared" si="2"/>
        <v>7000</v>
      </c>
      <c r="O14" s="253">
        <f t="shared" si="2"/>
        <v>7000</v>
      </c>
      <c r="P14" s="254">
        <f t="shared" si="2"/>
        <v>7000</v>
      </c>
      <c r="Q14" s="255">
        <f t="shared" si="2"/>
        <v>7000</v>
      </c>
      <c r="R14" s="256">
        <f t="shared" si="2"/>
        <v>7000</v>
      </c>
      <c r="S14" s="257">
        <f t="shared" si="2"/>
        <v>7000</v>
      </c>
      <c r="T14" s="250">
        <f t="shared" si="2"/>
        <v>7000</v>
      </c>
      <c r="U14" s="251">
        <f t="shared" si="2"/>
        <v>7000</v>
      </c>
      <c r="V14" s="252">
        <f t="shared" si="2"/>
        <v>7000</v>
      </c>
      <c r="W14" s="253">
        <f t="shared" si="2"/>
        <v>7000</v>
      </c>
      <c r="X14" s="254">
        <f t="shared" si="2"/>
        <v>7000</v>
      </c>
      <c r="Y14" s="255">
        <f t="shared" si="2"/>
        <v>7000</v>
      </c>
      <c r="Z14" s="92"/>
      <c r="AA14" s="258" t="s">
        <v>112</v>
      </c>
      <c r="AB14" s="259"/>
      <c r="AC14" s="259"/>
      <c r="AD14" s="259"/>
      <c r="AE14" s="259"/>
      <c r="AF14" s="92"/>
      <c r="AG14" s="92"/>
      <c r="AH14" s="92"/>
      <c r="AI14" s="92"/>
      <c r="AJ14" s="92"/>
      <c r="AK14" s="92"/>
      <c r="AL14" s="92"/>
      <c r="AM14" s="92"/>
    </row>
    <row r="15" spans="1:39" s="232" customFormat="1" ht="22.5" customHeight="1" thickTop="1" thickBot="1" x14ac:dyDescent="0.3">
      <c r="B15" s="92"/>
      <c r="C15" s="232" t="s">
        <v>113</v>
      </c>
      <c r="D15" s="260"/>
      <c r="E15" s="261"/>
      <c r="F15" s="251">
        <f>E14</f>
        <v>7000</v>
      </c>
      <c r="G15" s="252">
        <f t="shared" ref="G15:Y15" si="3">F14</f>
        <v>7000</v>
      </c>
      <c r="H15" s="253">
        <f t="shared" si="3"/>
        <v>7000</v>
      </c>
      <c r="I15" s="254">
        <f>H14</f>
        <v>7000</v>
      </c>
      <c r="J15" s="255">
        <f t="shared" si="3"/>
        <v>7000</v>
      </c>
      <c r="K15" s="256">
        <f t="shared" si="3"/>
        <v>7000</v>
      </c>
      <c r="L15" s="257">
        <f t="shared" si="3"/>
        <v>7000</v>
      </c>
      <c r="M15" s="250">
        <f t="shared" si="3"/>
        <v>7000</v>
      </c>
      <c r="N15" s="251">
        <f t="shared" si="3"/>
        <v>7000</v>
      </c>
      <c r="O15" s="252">
        <f t="shared" si="3"/>
        <v>7000</v>
      </c>
      <c r="P15" s="253">
        <f t="shared" si="3"/>
        <v>7000</v>
      </c>
      <c r="Q15" s="254">
        <f t="shared" si="3"/>
        <v>7000</v>
      </c>
      <c r="R15" s="255">
        <f t="shared" si="3"/>
        <v>7000</v>
      </c>
      <c r="S15" s="256">
        <f t="shared" si="3"/>
        <v>7000</v>
      </c>
      <c r="T15" s="257">
        <f t="shared" si="3"/>
        <v>7000</v>
      </c>
      <c r="U15" s="250">
        <f t="shared" si="3"/>
        <v>7000</v>
      </c>
      <c r="V15" s="251">
        <f t="shared" si="3"/>
        <v>7000</v>
      </c>
      <c r="W15" s="252">
        <f t="shared" si="3"/>
        <v>7000</v>
      </c>
      <c r="X15" s="253">
        <f t="shared" si="3"/>
        <v>7000</v>
      </c>
      <c r="Y15" s="254">
        <f t="shared" si="3"/>
        <v>7000</v>
      </c>
      <c r="Z15" s="92"/>
      <c r="AA15" s="258"/>
      <c r="AB15" s="259"/>
      <c r="AC15" s="259"/>
      <c r="AD15" s="259"/>
      <c r="AE15" s="259"/>
      <c r="AF15" s="92"/>
      <c r="AG15" s="92"/>
      <c r="AH15" s="92"/>
      <c r="AI15" s="92"/>
      <c r="AJ15" s="92"/>
      <c r="AK15" s="92"/>
      <c r="AL15" s="92"/>
      <c r="AM15" s="92"/>
    </row>
    <row r="16" spans="1:39" s="232" customFormat="1" ht="22.5" customHeight="1" thickTop="1" thickBot="1" x14ac:dyDescent="0.3">
      <c r="A16" s="181"/>
      <c r="B16" s="92"/>
      <c r="C16" s="181" t="s">
        <v>114</v>
      </c>
      <c r="D16" s="260"/>
      <c r="E16" s="262"/>
      <c r="F16" s="262"/>
      <c r="G16" s="263">
        <f>D13*E14</f>
        <v>66990</v>
      </c>
      <c r="H16" s="264">
        <f t="shared" ref="H16:Y16" si="4">E13*F14</f>
        <v>65730</v>
      </c>
      <c r="I16" s="265">
        <f t="shared" si="4"/>
        <v>65519.999999999993</v>
      </c>
      <c r="J16" s="266">
        <f t="shared" si="4"/>
        <v>65519.999999999993</v>
      </c>
      <c r="K16" s="267">
        <f t="shared" si="4"/>
        <v>65519.999999999993</v>
      </c>
      <c r="L16" s="268">
        <f t="shared" si="4"/>
        <v>65450</v>
      </c>
      <c r="M16" s="269">
        <f t="shared" si="4"/>
        <v>64470.000000000007</v>
      </c>
      <c r="N16" s="270">
        <f t="shared" si="4"/>
        <v>64610</v>
      </c>
      <c r="O16" s="263">
        <f t="shared" si="4"/>
        <v>63769.999999999993</v>
      </c>
      <c r="P16" s="264">
        <f t="shared" si="4"/>
        <v>64120</v>
      </c>
      <c r="Q16" s="265">
        <f t="shared" si="4"/>
        <v>64708</v>
      </c>
      <c r="R16" s="266">
        <f>O13*P14</f>
        <v>64708</v>
      </c>
      <c r="S16" s="267">
        <f>P13*Q14</f>
        <v>61920.666666666657</v>
      </c>
      <c r="T16" s="268">
        <f t="shared" si="4"/>
        <v>61920.666666666657</v>
      </c>
      <c r="U16" s="269">
        <f t="shared" si="4"/>
        <v>61920.666666666657</v>
      </c>
      <c r="V16" s="270">
        <f t="shared" si="4"/>
        <v>61920.666666666657</v>
      </c>
      <c r="W16" s="263">
        <f t="shared" si="4"/>
        <v>62236.135641581925</v>
      </c>
      <c r="X16" s="264">
        <f t="shared" si="4"/>
        <v>62236.135641581925</v>
      </c>
      <c r="Y16" s="265">
        <f t="shared" si="4"/>
        <v>62236.135641581925</v>
      </c>
      <c r="Z16" s="92"/>
      <c r="AA16" s="271" t="s">
        <v>115</v>
      </c>
      <c r="AB16" s="272"/>
      <c r="AC16" s="259"/>
      <c r="AD16" s="259"/>
      <c r="AE16" s="259"/>
      <c r="AF16" s="92"/>
      <c r="AG16" s="92"/>
      <c r="AH16" s="92"/>
      <c r="AI16" s="92"/>
      <c r="AJ16" s="92"/>
      <c r="AK16" s="92"/>
      <c r="AL16" s="92"/>
      <c r="AM16" s="92"/>
    </row>
    <row r="17" spans="1:43" s="232" customFormat="1" ht="22.5" customHeight="1" thickTop="1" thickBot="1" x14ac:dyDescent="0.3">
      <c r="A17" s="181"/>
      <c r="B17" s="181"/>
      <c r="C17" s="181" t="s">
        <v>116</v>
      </c>
      <c r="D17" s="260"/>
      <c r="E17" s="273"/>
      <c r="F17" s="262"/>
      <c r="G17" s="270">
        <f>-F16</f>
        <v>0</v>
      </c>
      <c r="H17" s="263">
        <f>-G16</f>
        <v>-66990</v>
      </c>
      <c r="I17" s="264">
        <f>-H16</f>
        <v>-65730</v>
      </c>
      <c r="J17" s="265">
        <f>-I16</f>
        <v>-65519.999999999993</v>
      </c>
      <c r="K17" s="266">
        <f t="shared" ref="K17:Y17" si="5">-J16</f>
        <v>-65519.999999999993</v>
      </c>
      <c r="L17" s="267">
        <f>-K16</f>
        <v>-65519.999999999993</v>
      </c>
      <c r="M17" s="268">
        <f t="shared" si="5"/>
        <v>-65450</v>
      </c>
      <c r="N17" s="269">
        <f t="shared" si="5"/>
        <v>-64470.000000000007</v>
      </c>
      <c r="O17" s="270">
        <f>-N16</f>
        <v>-64610</v>
      </c>
      <c r="P17" s="263">
        <f>-O16</f>
        <v>-63769.999999999993</v>
      </c>
      <c r="Q17" s="264">
        <f t="shared" si="5"/>
        <v>-64120</v>
      </c>
      <c r="R17" s="265">
        <f>-Q16</f>
        <v>-64708</v>
      </c>
      <c r="S17" s="266">
        <f t="shared" si="5"/>
        <v>-64708</v>
      </c>
      <c r="T17" s="267">
        <f t="shared" si="5"/>
        <v>-61920.666666666657</v>
      </c>
      <c r="U17" s="268">
        <f t="shared" si="5"/>
        <v>-61920.666666666657</v>
      </c>
      <c r="V17" s="269">
        <f t="shared" si="5"/>
        <v>-61920.666666666657</v>
      </c>
      <c r="W17" s="270">
        <f t="shared" si="5"/>
        <v>-61920.666666666657</v>
      </c>
      <c r="X17" s="263">
        <f>-W16</f>
        <v>-62236.135641581925</v>
      </c>
      <c r="Y17" s="264">
        <f t="shared" si="5"/>
        <v>-62236.135641581925</v>
      </c>
      <c r="Z17" s="92"/>
      <c r="AA17" s="271" t="s">
        <v>117</v>
      </c>
      <c r="AB17" s="272"/>
      <c r="AC17" s="259"/>
      <c r="AD17" s="259"/>
      <c r="AE17" s="259"/>
      <c r="AF17" s="92"/>
      <c r="AG17" s="92"/>
      <c r="AH17" s="92"/>
      <c r="AI17" s="92"/>
      <c r="AJ17" s="92"/>
      <c r="AK17" s="92"/>
      <c r="AL17" s="92"/>
      <c r="AM17" s="92"/>
    </row>
    <row r="18" spans="1:43" s="232" customFormat="1" ht="22.5" customHeight="1" thickTop="1" thickBot="1" x14ac:dyDescent="0.3">
      <c r="A18" s="181"/>
      <c r="B18" s="181"/>
      <c r="C18" s="181" t="s">
        <v>118</v>
      </c>
      <c r="D18" s="274"/>
      <c r="E18" s="262"/>
      <c r="F18" s="262"/>
      <c r="G18" s="270">
        <v>0</v>
      </c>
      <c r="H18" s="263">
        <f>E13*E14</f>
        <v>65730</v>
      </c>
      <c r="I18" s="264">
        <f t="shared" ref="I18:Y18" si="6">F13*F14</f>
        <v>65519.999999999993</v>
      </c>
      <c r="J18" s="265">
        <f t="shared" si="6"/>
        <v>65519.999999999993</v>
      </c>
      <c r="K18" s="266">
        <f t="shared" si="6"/>
        <v>65519.999999999993</v>
      </c>
      <c r="L18" s="267">
        <f t="shared" si="6"/>
        <v>65450</v>
      </c>
      <c r="M18" s="268">
        <f t="shared" si="6"/>
        <v>64470.000000000007</v>
      </c>
      <c r="N18" s="269">
        <f t="shared" si="6"/>
        <v>64610</v>
      </c>
      <c r="O18" s="270">
        <f t="shared" si="6"/>
        <v>63769.999999999993</v>
      </c>
      <c r="P18" s="263">
        <f t="shared" si="6"/>
        <v>64120</v>
      </c>
      <c r="Q18" s="264">
        <f t="shared" si="6"/>
        <v>64708</v>
      </c>
      <c r="R18" s="265">
        <f t="shared" si="6"/>
        <v>64708</v>
      </c>
      <c r="S18" s="266">
        <f>P13*P14</f>
        <v>61920.666666666657</v>
      </c>
      <c r="T18" s="267">
        <f t="shared" si="6"/>
        <v>61920.666666666657</v>
      </c>
      <c r="U18" s="268">
        <f t="shared" si="6"/>
        <v>61920.666666666657</v>
      </c>
      <c r="V18" s="269">
        <f t="shared" si="6"/>
        <v>61920.666666666657</v>
      </c>
      <c r="W18" s="270">
        <f>T13*T14</f>
        <v>62236.135641581925</v>
      </c>
      <c r="X18" s="263">
        <f t="shared" si="6"/>
        <v>62236.135641581925</v>
      </c>
      <c r="Y18" s="264">
        <f t="shared" si="6"/>
        <v>62236.135641581925</v>
      </c>
      <c r="Z18" s="92"/>
      <c r="AA18" s="271" t="s">
        <v>119</v>
      </c>
      <c r="AB18" s="272"/>
      <c r="AC18" s="259"/>
      <c r="AD18" s="259"/>
      <c r="AE18" s="259"/>
      <c r="AF18" s="92"/>
      <c r="AG18" s="92"/>
      <c r="AH18" s="92"/>
      <c r="AI18" s="92"/>
      <c r="AJ18" s="92"/>
      <c r="AK18" s="92"/>
      <c r="AL18" s="92"/>
      <c r="AM18" s="92"/>
    </row>
    <row r="19" spans="1:43" s="232" customFormat="1" ht="22.5" customHeight="1" thickTop="1" thickBot="1" x14ac:dyDescent="0.3">
      <c r="A19" s="181"/>
      <c r="B19" s="181"/>
      <c r="C19" s="275" t="s">
        <v>120</v>
      </c>
      <c r="D19" s="276"/>
      <c r="E19" s="277">
        <f t="shared" ref="E19" si="7">E18+E17+E16</f>
        <v>0</v>
      </c>
      <c r="F19" s="277">
        <f>F18+F17+F16</f>
        <v>0</v>
      </c>
      <c r="G19" s="277">
        <f>G18+G17+G16</f>
        <v>66990</v>
      </c>
      <c r="H19" s="277">
        <f>H18+H17+H16</f>
        <v>64470</v>
      </c>
      <c r="I19" s="277">
        <f>I18+I17+I16</f>
        <v>65309.999999999985</v>
      </c>
      <c r="J19" s="277">
        <f>J18+J17+J16</f>
        <v>65519.999999999993</v>
      </c>
      <c r="K19" s="277">
        <f t="shared" ref="K19:X19" si="8">K18+K17+K16</f>
        <v>65519.999999999993</v>
      </c>
      <c r="L19" s="277">
        <f t="shared" si="8"/>
        <v>65380.000000000007</v>
      </c>
      <c r="M19" s="277">
        <f t="shared" si="8"/>
        <v>63490.000000000015</v>
      </c>
      <c r="N19" s="277">
        <f t="shared" si="8"/>
        <v>64749.999999999993</v>
      </c>
      <c r="O19" s="277">
        <f t="shared" si="8"/>
        <v>62929.999999999985</v>
      </c>
      <c r="P19" s="277">
        <f t="shared" si="8"/>
        <v>64470.000000000007</v>
      </c>
      <c r="Q19" s="277">
        <f>Q18+Q17+Q16</f>
        <v>65296</v>
      </c>
      <c r="R19" s="277">
        <f>R18+R17+R16</f>
        <v>64708</v>
      </c>
      <c r="S19" s="277">
        <f t="shared" si="8"/>
        <v>59133.333333333314</v>
      </c>
      <c r="T19" s="277">
        <f t="shared" si="8"/>
        <v>61920.666666666657</v>
      </c>
      <c r="U19" s="277">
        <f t="shared" si="8"/>
        <v>61920.666666666657</v>
      </c>
      <c r="V19" s="277">
        <f>V18+V17+V16</f>
        <v>61920.666666666657</v>
      </c>
      <c r="W19" s="277">
        <f>W18+W17+W16</f>
        <v>62551.604616497192</v>
      </c>
      <c r="X19" s="277">
        <f t="shared" si="8"/>
        <v>62236.135641581925</v>
      </c>
      <c r="Y19" s="277">
        <f>Y18+Y17+Y16</f>
        <v>62236.135641581925</v>
      </c>
      <c r="Z19" s="92"/>
      <c r="AA19" s="271" t="s">
        <v>121</v>
      </c>
      <c r="AB19" s="272"/>
      <c r="AC19" s="259"/>
      <c r="AD19" s="259"/>
      <c r="AE19" s="259"/>
      <c r="AF19" s="92"/>
      <c r="AG19" s="92"/>
      <c r="AH19" s="92"/>
      <c r="AI19" s="92"/>
      <c r="AJ19" s="92"/>
      <c r="AK19" s="92"/>
      <c r="AL19" s="92"/>
      <c r="AM19" s="92"/>
    </row>
    <row r="20" spans="1:43" s="232" customFormat="1" ht="22.5" customHeight="1" thickTop="1" x14ac:dyDescent="0.25">
      <c r="A20" s="181"/>
      <c r="B20" s="278"/>
      <c r="C20" s="140"/>
      <c r="D20" s="140"/>
      <c r="E20" s="140"/>
      <c r="F20" s="140"/>
      <c r="G20" s="140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148"/>
      <c r="Y20" s="92"/>
      <c r="Z20" s="92"/>
      <c r="AA20" s="271" t="s">
        <v>122</v>
      </c>
      <c r="AC20" s="259"/>
      <c r="AD20" s="259"/>
      <c r="AE20" s="259"/>
      <c r="AF20" s="92"/>
      <c r="AG20" s="92"/>
      <c r="AH20" s="92"/>
      <c r="AI20" s="92"/>
      <c r="AJ20" s="92"/>
    </row>
    <row r="21" spans="1:43" s="232" customFormat="1" ht="18.75" customHeight="1" thickBot="1" x14ac:dyDescent="0.3">
      <c r="A21" s="181"/>
      <c r="B21" s="278"/>
      <c r="C21" s="140"/>
      <c r="D21" s="140"/>
      <c r="E21" s="140"/>
      <c r="F21" s="140"/>
      <c r="G21" s="140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271" t="s">
        <v>123</v>
      </c>
      <c r="AB21" s="272"/>
      <c r="AC21" s="259"/>
      <c r="AD21" s="259"/>
      <c r="AE21" s="259"/>
      <c r="AF21" s="92"/>
      <c r="AG21" s="92"/>
      <c r="AI21" s="92"/>
    </row>
    <row r="22" spans="1:43" s="232" customFormat="1" ht="15" customHeight="1" thickTop="1" thickBot="1" x14ac:dyDescent="0.3">
      <c r="A22" s="181"/>
      <c r="B22" s="278"/>
      <c r="C22" s="279" t="s">
        <v>124</v>
      </c>
      <c r="D22" s="280"/>
      <c r="E22" s="280"/>
      <c r="F22" s="280"/>
      <c r="G22" s="280"/>
      <c r="H22" s="263">
        <f>E14*$AE$66</f>
        <v>697.87406540639222</v>
      </c>
      <c r="I22" s="264">
        <f t="shared" ref="I22:Y22" si="9">F14*$AE$66</f>
        <v>697.87406540639222</v>
      </c>
      <c r="J22" s="265">
        <f t="shared" si="9"/>
        <v>697.87406540639222</v>
      </c>
      <c r="K22" s="266">
        <f t="shared" si="9"/>
        <v>697.87406540639222</v>
      </c>
      <c r="L22" s="267">
        <f t="shared" si="9"/>
        <v>697.87406540639222</v>
      </c>
      <c r="M22" s="268">
        <f t="shared" si="9"/>
        <v>697.87406540639222</v>
      </c>
      <c r="N22" s="269">
        <f t="shared" si="9"/>
        <v>697.87406540639222</v>
      </c>
      <c r="O22" s="270">
        <f>L14*$AE$66</f>
        <v>697.87406540639222</v>
      </c>
      <c r="P22" s="263">
        <f t="shared" si="9"/>
        <v>697.87406540639222</v>
      </c>
      <c r="Q22" s="264">
        <f t="shared" si="9"/>
        <v>697.87406540639222</v>
      </c>
      <c r="R22" s="265">
        <f t="shared" si="9"/>
        <v>697.87406540639222</v>
      </c>
      <c r="S22" s="266">
        <f>P14*$AE$66</f>
        <v>697.87406540639222</v>
      </c>
      <c r="T22" s="267">
        <f t="shared" si="9"/>
        <v>697.87406540639222</v>
      </c>
      <c r="U22" s="268">
        <f t="shared" si="9"/>
        <v>697.87406540639222</v>
      </c>
      <c r="V22" s="269">
        <f t="shared" si="9"/>
        <v>697.87406540639222</v>
      </c>
      <c r="W22" s="270">
        <f t="shared" si="9"/>
        <v>697.87406540639222</v>
      </c>
      <c r="X22" s="263">
        <f t="shared" si="9"/>
        <v>697.87406540639222</v>
      </c>
      <c r="Y22" s="264">
        <f t="shared" si="9"/>
        <v>697.87406540639222</v>
      </c>
      <c r="Z22" s="92"/>
      <c r="AA22" s="230"/>
      <c r="AB22" s="140"/>
      <c r="AC22" s="92"/>
      <c r="AD22" s="92"/>
      <c r="AE22" s="92"/>
      <c r="AF22" s="92"/>
      <c r="AG22" s="92"/>
      <c r="AH22" s="281"/>
      <c r="AI22" s="282"/>
      <c r="AJ22" s="281"/>
      <c r="AK22" s="282"/>
      <c r="AL22" s="281"/>
      <c r="AM22" s="281"/>
      <c r="AN22" s="281"/>
    </row>
    <row r="23" spans="1:43" s="232" customFormat="1" ht="18.75" customHeight="1" thickTop="1" thickBot="1" x14ac:dyDescent="0.3">
      <c r="A23" s="181"/>
      <c r="C23" s="279" t="s">
        <v>125</v>
      </c>
      <c r="D23" s="280"/>
      <c r="E23" s="280"/>
      <c r="F23" s="280"/>
      <c r="G23" s="280"/>
      <c r="H23" s="263">
        <f>IF(E14&lt;$AB$79,0,IF(E14&lt;$AB$80,$AE$79,IF(E14&lt;$AB$81,$AE$80,$AE$81)))</f>
        <v>2091.6666666666665</v>
      </c>
      <c r="I23" s="264">
        <f>IF(F14&lt;$AB$79,0,IF(F14&lt;$AB$80,$AE$79,IF(F14&lt;$AB$81,$AE$80,$AE$81)))</f>
        <v>2091.6666666666665</v>
      </c>
      <c r="J23" s="265">
        <f t="shared" ref="J23:Q23" si="10">IF(G14&lt;$AB$79,0,IF(G14&lt;$AB$80,$AE$79,IF(G14&lt;$AB$81,$AE$80,$AE$81)))</f>
        <v>2091.6666666666665</v>
      </c>
      <c r="K23" s="266">
        <f t="shared" si="10"/>
        <v>2091.6666666666665</v>
      </c>
      <c r="L23" s="267">
        <f t="shared" si="10"/>
        <v>2091.6666666666665</v>
      </c>
      <c r="M23" s="268">
        <f t="shared" si="10"/>
        <v>2091.6666666666665</v>
      </c>
      <c r="N23" s="269">
        <f>IF(K14&lt;$AB$79,0,IF(K14&lt;$AB$80,$AE$79,IF(K14&lt;$AB$81,$AE$80,$AE$81)))</f>
        <v>2091.6666666666665</v>
      </c>
      <c r="O23" s="270">
        <f t="shared" si="10"/>
        <v>2091.6666666666665</v>
      </c>
      <c r="P23" s="263">
        <f t="shared" si="10"/>
        <v>2091.6666666666665</v>
      </c>
      <c r="Q23" s="264">
        <f t="shared" si="10"/>
        <v>2091.6666666666665</v>
      </c>
      <c r="R23" s="265">
        <f>IF(O14&lt;$AB$79,0,IF(O14&lt;$AB$80,$AE$79,IF(O14&lt;$AB$81,$AE$80,$AE$81)))</f>
        <v>2091.6666666666665</v>
      </c>
      <c r="S23" s="266">
        <f>IF(P14&lt;$AB$87,0,IF(P14&lt;$AB$88,$AE$87,IF(P14&lt;$AB$89,$AE$88,$AE$89)))</f>
        <v>1673.3333333333333</v>
      </c>
      <c r="T23" s="267">
        <f>IF(R14&lt;$AB$87,0,IF(R14&lt;$AB$88,$AE$87,IF(R14&lt;$AB$89,$AE$88,$AE$89)))</f>
        <v>1673.3333333333333</v>
      </c>
      <c r="U23" s="268">
        <f>IF(S14&lt;$AB$87,0,IF(S14&lt;$AB$88,$AE$87,IF(S14&lt;$AB$89,$AE$88,$AE$89)))</f>
        <v>1673.3333333333333</v>
      </c>
      <c r="V23" s="269">
        <f>IF(T14&lt;$AB$87,0,IF(T14&lt;$AB$88,$AE$87,IF(T14&lt;$AB$89,$AE$88,$AE$89)))</f>
        <v>1673.3333333333333</v>
      </c>
      <c r="W23" s="270">
        <f>IF(U14&lt;$AB$97,0,IF(U14&lt;$AB$98,$AE$97,IF(U14&lt;$AB$99,$AE$98,$AE$99)))</f>
        <v>1255</v>
      </c>
      <c r="X23" s="263">
        <f>IF(V14&lt;$AB$97,0,IF(V14&lt;$AB$98,$AE$97,IF(V14&lt;$AB$99,$AE$98,$AE$99)))</f>
        <v>1255</v>
      </c>
      <c r="Y23" s="264">
        <f t="shared" ref="Y23" si="11">IF(W14&lt;$AB$97,0,IF(W14&lt;$AB$98,$AE$97,IF(W14&lt;$AB$99,$AE$98,$AE$99)))</f>
        <v>1255</v>
      </c>
      <c r="Z23" s="92"/>
      <c r="AA23" s="283" t="s">
        <v>126</v>
      </c>
      <c r="AB23" s="284"/>
      <c r="AC23" s="284"/>
      <c r="AD23" s="284"/>
      <c r="AE23" s="284"/>
      <c r="AF23" s="92"/>
      <c r="AG23" s="92"/>
      <c r="AH23" s="285"/>
      <c r="AI23" s="286"/>
      <c r="AJ23" s="281"/>
      <c r="AK23" s="287"/>
      <c r="AL23" s="281"/>
      <c r="AM23" s="281"/>
      <c r="AN23" s="281"/>
    </row>
    <row r="24" spans="1:43" s="232" customFormat="1" ht="18.75" customHeight="1" thickTop="1" thickBot="1" x14ac:dyDescent="0.3">
      <c r="A24" s="181"/>
      <c r="B24" s="278"/>
      <c r="C24" s="279" t="s">
        <v>127</v>
      </c>
      <c r="D24" s="280"/>
      <c r="E24" s="280"/>
      <c r="F24" s="280"/>
      <c r="G24" s="280"/>
      <c r="H24" s="263">
        <f>E14*$AE$64+125+200</f>
        <v>6625</v>
      </c>
      <c r="I24" s="264">
        <f t="shared" ref="I24:R24" si="12">F14*$AE$64+125+200</f>
        <v>6625</v>
      </c>
      <c r="J24" s="265">
        <f t="shared" si="12"/>
        <v>6625</v>
      </c>
      <c r="K24" s="266">
        <f t="shared" si="12"/>
        <v>6625</v>
      </c>
      <c r="L24" s="267">
        <f t="shared" si="12"/>
        <v>6625</v>
      </c>
      <c r="M24" s="268">
        <f t="shared" si="12"/>
        <v>6625</v>
      </c>
      <c r="N24" s="269">
        <f t="shared" si="12"/>
        <v>6625</v>
      </c>
      <c r="O24" s="270">
        <f t="shared" si="12"/>
        <v>6625</v>
      </c>
      <c r="P24" s="263">
        <f t="shared" si="12"/>
        <v>6625</v>
      </c>
      <c r="Q24" s="264">
        <f t="shared" si="12"/>
        <v>6625</v>
      </c>
      <c r="R24" s="265">
        <f t="shared" si="12"/>
        <v>6625</v>
      </c>
      <c r="S24" s="266">
        <v>0</v>
      </c>
      <c r="T24" s="267">
        <v>0</v>
      </c>
      <c r="U24" s="268">
        <v>0</v>
      </c>
      <c r="V24" s="269">
        <v>0</v>
      </c>
      <c r="W24" s="270">
        <v>0</v>
      </c>
      <c r="X24" s="263">
        <v>0</v>
      </c>
      <c r="Y24" s="264">
        <v>0</v>
      </c>
      <c r="Z24" s="92"/>
      <c r="AA24" s="284"/>
      <c r="AB24" s="284"/>
      <c r="AC24" s="284"/>
      <c r="AD24" s="479" t="s">
        <v>3</v>
      </c>
      <c r="AE24" s="479" t="s">
        <v>4</v>
      </c>
      <c r="AF24" s="92"/>
      <c r="AG24" s="92"/>
      <c r="AH24" s="285"/>
      <c r="AI24" s="286"/>
      <c r="AJ24" s="281"/>
      <c r="AK24" s="281"/>
      <c r="AL24" s="281"/>
      <c r="AM24" s="281"/>
      <c r="AN24" s="281"/>
    </row>
    <row r="25" spans="1:43" s="232" customFormat="1" ht="18.75" customHeight="1" thickTop="1" thickBot="1" x14ac:dyDescent="0.3">
      <c r="A25" s="181"/>
      <c r="B25" s="278"/>
      <c r="C25" s="279" t="s">
        <v>128</v>
      </c>
      <c r="D25" s="280"/>
      <c r="E25" s="280"/>
      <c r="F25" s="280"/>
      <c r="G25" s="280"/>
      <c r="H25" s="263">
        <f>(IF(E14&lt;$AB$27,$AE$26,IF(E14&lt;$AB$28,$AE$27,IF(E14&lt;$AB$29,$AE$28,E14*$AD$29))))</f>
        <v>3947.9999999999995</v>
      </c>
      <c r="I25" s="264">
        <f t="shared" ref="I25:N25" si="13">(IF(F14&lt;$AB$27,$AE$26,IF(F14&lt;$AB$28,$AE$27,IF(F14&lt;$AB$29,$AE$28,F14*$AD$29))))</f>
        <v>3947.9999999999995</v>
      </c>
      <c r="J25" s="265">
        <f t="shared" si="13"/>
        <v>3947.9999999999995</v>
      </c>
      <c r="K25" s="266">
        <f>(IF(H14&lt;$AB$27,$AE$26,IF(H14&lt;$AB$28,$AE$27,IF(H14&lt;$AB$29,$AE$28,H14*$AD$29))))</f>
        <v>3947.9999999999995</v>
      </c>
      <c r="L25" s="267">
        <f t="shared" si="13"/>
        <v>3947.9999999999995</v>
      </c>
      <c r="M25" s="268">
        <f t="shared" si="13"/>
        <v>3947.9999999999995</v>
      </c>
      <c r="N25" s="269">
        <f t="shared" si="13"/>
        <v>3947.9999999999995</v>
      </c>
      <c r="O25" s="270">
        <f>(IF(L14&lt;$AB$46,$AE$45,IF(L14&lt;$AB$47,$AE$46,IF(L14&lt;$AB$48,$AE$47,L14*$AD$48))))</f>
        <v>3066</v>
      </c>
      <c r="P25" s="263">
        <f>(IF(M14&lt;$AB$46,$AE$45,IF(M14&lt;$AB$47,$AE$46,IF(M14&lt;$AB$48,$AE$47,M14*$AD$48))))</f>
        <v>3066</v>
      </c>
      <c r="Q25" s="264">
        <f t="shared" ref="Q25" si="14">(IF(N14&lt;$AB$54,$AE$53,IF(N14&lt;$AB$55,$AE$54,IF(N14&lt;$AB$56,$AE$55,N14*$AD$56))))</f>
        <v>3654</v>
      </c>
      <c r="R25" s="265">
        <f>(IF(O14&lt;$AB$54,$AE$53,IF(O14&lt;$AB$55,$AE$54,IF(O14&lt;$AB$56,$AE$55,O14*$AD$56))))</f>
        <v>3654</v>
      </c>
      <c r="S25" s="266">
        <v>0</v>
      </c>
      <c r="T25" s="267">
        <v>0</v>
      </c>
      <c r="U25" s="268">
        <v>0</v>
      </c>
      <c r="V25" s="269">
        <v>0</v>
      </c>
      <c r="W25" s="270">
        <v>0</v>
      </c>
      <c r="X25" s="263">
        <v>0</v>
      </c>
      <c r="Y25" s="264">
        <v>0</v>
      </c>
      <c r="Z25" s="92"/>
      <c r="AA25" s="284"/>
      <c r="AB25" s="288" t="s">
        <v>5</v>
      </c>
      <c r="AC25" s="288" t="s">
        <v>6</v>
      </c>
      <c r="AD25" s="479"/>
      <c r="AE25" s="479"/>
      <c r="AF25" s="92"/>
      <c r="AG25" s="92"/>
      <c r="AH25" s="285"/>
      <c r="AI25" s="286"/>
      <c r="AJ25" s="281"/>
      <c r="AK25" s="281"/>
      <c r="AL25" s="281"/>
      <c r="AM25" s="281"/>
      <c r="AN25" s="281"/>
    </row>
    <row r="26" spans="1:43" s="232" customFormat="1" ht="18.75" customHeight="1" thickTop="1" thickBot="1" x14ac:dyDescent="0.3">
      <c r="A26" s="181"/>
      <c r="B26" s="278"/>
      <c r="C26" s="279" t="s">
        <v>41</v>
      </c>
      <c r="D26" s="279"/>
      <c r="E26" s="279"/>
      <c r="F26" s="279"/>
      <c r="G26" s="279"/>
      <c r="H26" s="263">
        <v>0</v>
      </c>
      <c r="I26" s="264">
        <v>0</v>
      </c>
      <c r="J26" s="265">
        <v>0</v>
      </c>
      <c r="K26" s="266">
        <v>0</v>
      </c>
      <c r="L26" s="267">
        <v>0</v>
      </c>
      <c r="M26" s="268">
        <v>0</v>
      </c>
      <c r="N26" s="269">
        <v>0</v>
      </c>
      <c r="O26" s="270">
        <v>0</v>
      </c>
      <c r="P26" s="263">
        <v>0</v>
      </c>
      <c r="Q26" s="264">
        <v>0</v>
      </c>
      <c r="R26" s="265">
        <v>0</v>
      </c>
      <c r="S26" s="266">
        <f>P14*$AD$91</f>
        <v>7909.9999999999991</v>
      </c>
      <c r="T26" s="267">
        <f t="shared" ref="T26:V26" si="15">Q14*$AD$91</f>
        <v>7909.9999999999991</v>
      </c>
      <c r="U26" s="268">
        <f t="shared" si="15"/>
        <v>7909.9999999999991</v>
      </c>
      <c r="V26" s="269">
        <f t="shared" si="15"/>
        <v>7909.9999999999991</v>
      </c>
      <c r="W26" s="270">
        <f>T14*$AD$101</f>
        <v>8750</v>
      </c>
      <c r="X26" s="263">
        <f t="shared" ref="X26:Y26" si="16">U14*$AD$101</f>
        <v>8750</v>
      </c>
      <c r="Y26" s="264">
        <f t="shared" si="16"/>
        <v>8750</v>
      </c>
      <c r="Z26" s="92"/>
      <c r="AA26" s="289"/>
      <c r="AB26" s="289">
        <v>0</v>
      </c>
      <c r="AC26" s="289">
        <v>1099</v>
      </c>
      <c r="AD26" s="290">
        <v>250</v>
      </c>
      <c r="AE26" s="290">
        <f>AD26/5</f>
        <v>50</v>
      </c>
      <c r="AF26" s="92"/>
      <c r="AG26" s="92"/>
      <c r="AH26" s="285"/>
      <c r="AI26" s="286"/>
      <c r="AJ26" s="281"/>
      <c r="AK26" s="281"/>
      <c r="AL26" s="281"/>
      <c r="AM26" s="291"/>
      <c r="AN26" s="281"/>
    </row>
    <row r="27" spans="1:43" ht="16.5" thickTop="1" thickBot="1" x14ac:dyDescent="0.3">
      <c r="A27" s="181"/>
      <c r="B27" s="278"/>
      <c r="C27" s="279" t="s">
        <v>129</v>
      </c>
      <c r="D27" s="279"/>
      <c r="E27" s="279"/>
      <c r="F27" s="279"/>
      <c r="G27" s="279"/>
      <c r="H27" s="263">
        <v>0</v>
      </c>
      <c r="I27" s="264">
        <v>0</v>
      </c>
      <c r="J27" s="265">
        <v>0</v>
      </c>
      <c r="K27" s="266">
        <v>0</v>
      </c>
      <c r="L27" s="267">
        <v>0</v>
      </c>
      <c r="M27" s="268">
        <v>0</v>
      </c>
      <c r="N27" s="269">
        <v>0</v>
      </c>
      <c r="O27" s="270">
        <v>0</v>
      </c>
      <c r="P27" s="263">
        <v>0</v>
      </c>
      <c r="Q27" s="264">
        <v>0</v>
      </c>
      <c r="R27" s="265">
        <v>0</v>
      </c>
      <c r="S27" s="266">
        <v>0</v>
      </c>
      <c r="T27" s="267">
        <v>0</v>
      </c>
      <c r="U27" s="268">
        <v>0</v>
      </c>
      <c r="V27" s="269">
        <v>0</v>
      </c>
      <c r="W27" s="270">
        <f>IF(Calculator!J27=4,Calculator!J39,0)</f>
        <v>4640</v>
      </c>
      <c r="X27" s="263">
        <v>0</v>
      </c>
      <c r="Y27" s="264">
        <v>0</v>
      </c>
      <c r="Z27" s="292"/>
      <c r="AA27" s="289"/>
      <c r="AB27" s="289">
        <v>1100</v>
      </c>
      <c r="AC27" s="289">
        <v>1599</v>
      </c>
      <c r="AD27" s="290">
        <v>2407</v>
      </c>
      <c r="AE27" s="290">
        <f t="shared" ref="AE27:AE28" si="17">AD27/5</f>
        <v>481.4</v>
      </c>
      <c r="AF27" s="232"/>
      <c r="AG27" s="232"/>
      <c r="AH27" s="285"/>
      <c r="AI27" s="286"/>
      <c r="AJ27" s="281"/>
      <c r="AK27" s="281"/>
      <c r="AL27" s="285"/>
      <c r="AM27" s="286"/>
      <c r="AN27" s="281"/>
    </row>
    <row r="28" spans="1:43" ht="15.75" thickTop="1" x14ac:dyDescent="0.25">
      <c r="A28" s="181"/>
      <c r="B28" s="278"/>
      <c r="C28" s="279"/>
      <c r="D28" s="279"/>
      <c r="E28" s="279"/>
      <c r="F28" s="279"/>
      <c r="G28" s="280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4"/>
      <c r="Z28" s="292"/>
      <c r="AA28" s="289"/>
      <c r="AB28" s="289">
        <v>1600</v>
      </c>
      <c r="AC28" s="289">
        <v>2499</v>
      </c>
      <c r="AD28" s="290">
        <v>3369</v>
      </c>
      <c r="AE28" s="290">
        <f t="shared" si="17"/>
        <v>673.8</v>
      </c>
      <c r="AF28" s="232"/>
      <c r="AG28" s="232"/>
      <c r="AH28" s="285"/>
      <c r="AI28" s="286"/>
      <c r="AJ28" s="281"/>
      <c r="AK28" s="281"/>
      <c r="AL28" s="285"/>
      <c r="AM28" s="286"/>
      <c r="AN28" s="281"/>
    </row>
    <row r="29" spans="1:43" ht="15.75" thickBot="1" x14ac:dyDescent="0.3">
      <c r="A29" s="181"/>
      <c r="B29" s="278"/>
      <c r="C29" s="279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2"/>
      <c r="AA29" s="289"/>
      <c r="AB29" s="289">
        <v>2500</v>
      </c>
      <c r="AC29" s="289" t="s">
        <v>7</v>
      </c>
      <c r="AD29" s="289">
        <v>0.56399999999999995</v>
      </c>
      <c r="AE29" s="289" t="s">
        <v>8</v>
      </c>
      <c r="AF29" s="232"/>
      <c r="AG29" s="232"/>
      <c r="AH29" s="285"/>
      <c r="AI29" s="286"/>
      <c r="AJ29" s="281"/>
      <c r="AK29" s="281"/>
      <c r="AL29" s="285"/>
      <c r="AM29" s="286"/>
      <c r="AN29" s="281"/>
      <c r="AQ29" s="291"/>
    </row>
    <row r="30" spans="1:43" ht="16.5" thickTop="1" thickBot="1" x14ac:dyDescent="0.3">
      <c r="A30" s="181"/>
      <c r="B30" s="278"/>
      <c r="C30" s="279" t="s">
        <v>130</v>
      </c>
      <c r="D30" s="294"/>
      <c r="E30" s="294"/>
      <c r="F30" s="294"/>
      <c r="G30" s="294"/>
      <c r="H30" s="263">
        <f>$AE$63*E14</f>
        <v>5416.0822793216266</v>
      </c>
      <c r="I30" s="264">
        <f>$AE$63*F14</f>
        <v>5416.0822793216266</v>
      </c>
      <c r="J30" s="265">
        <f>$AE$63*G14</f>
        <v>5416.0822793216266</v>
      </c>
      <c r="K30" s="266">
        <f>$AE$63*H14</f>
        <v>5416.0822793216266</v>
      </c>
      <c r="L30" s="267">
        <f>$AE$63*I14</f>
        <v>5416.0822793216266</v>
      </c>
      <c r="M30" s="268">
        <f>($AE$63)*J14</f>
        <v>5416.0822793216266</v>
      </c>
      <c r="N30" s="269">
        <f t="shared" ref="M30:V30" si="18">($AE$63)*K14</f>
        <v>5416.0822793216266</v>
      </c>
      <c r="O30" s="270">
        <f t="shared" si="18"/>
        <v>5416.0822793216266</v>
      </c>
      <c r="P30" s="263">
        <f t="shared" si="18"/>
        <v>5416.0822793216266</v>
      </c>
      <c r="Q30" s="264">
        <f t="shared" si="18"/>
        <v>5416.0822793216266</v>
      </c>
      <c r="R30" s="265">
        <f t="shared" si="18"/>
        <v>5416.0822793216266</v>
      </c>
      <c r="S30" s="266">
        <f t="shared" si="18"/>
        <v>5416.0822793216266</v>
      </c>
      <c r="T30" s="267">
        <f t="shared" si="18"/>
        <v>5416.0822793216266</v>
      </c>
      <c r="U30" s="268">
        <f t="shared" si="18"/>
        <v>5416.0822793216266</v>
      </c>
      <c r="V30" s="269">
        <f t="shared" si="18"/>
        <v>5416.0822793216266</v>
      </c>
      <c r="W30" s="270">
        <f>$AE$74*T14</f>
        <v>5309.8845875702227</v>
      </c>
      <c r="X30" s="263">
        <f t="shared" ref="X30:Y30" si="19">$AE$74*U14</f>
        <v>5309.8845875702227</v>
      </c>
      <c r="Y30" s="264">
        <f t="shared" si="19"/>
        <v>5309.8845875702227</v>
      </c>
      <c r="Z30" s="292"/>
      <c r="AA30" s="289"/>
      <c r="AB30" s="289"/>
      <c r="AC30" s="289"/>
      <c r="AD30" s="289"/>
      <c r="AE30" s="289"/>
      <c r="AF30" s="232"/>
      <c r="AG30" s="232"/>
      <c r="AH30" s="285"/>
      <c r="AI30" s="286"/>
      <c r="AJ30" s="281"/>
      <c r="AK30" s="281"/>
      <c r="AL30" s="285"/>
      <c r="AM30" s="286"/>
      <c r="AN30" s="281"/>
      <c r="AQ30" s="291"/>
    </row>
    <row r="31" spans="1:43" ht="16.5" thickTop="1" thickBot="1" x14ac:dyDescent="0.3">
      <c r="A31" s="181"/>
      <c r="B31" s="278"/>
      <c r="C31" s="279" t="s">
        <v>131</v>
      </c>
      <c r="D31" s="294"/>
      <c r="E31" s="294"/>
      <c r="F31" s="294"/>
      <c r="G31" s="294"/>
      <c r="H31" s="263">
        <f>SUM(H22:H27,H30)</f>
        <v>18778.623011394688</v>
      </c>
      <c r="I31" s="264">
        <f>SUM(I22:I27,I30)</f>
        <v>18778.623011394688</v>
      </c>
      <c r="J31" s="265">
        <f t="shared" ref="J31:Y31" si="20">SUM(J22:J27,J30)</f>
        <v>18778.623011394688</v>
      </c>
      <c r="K31" s="266">
        <f t="shared" si="20"/>
        <v>18778.623011394688</v>
      </c>
      <c r="L31" s="267">
        <f t="shared" si="20"/>
        <v>18778.623011394688</v>
      </c>
      <c r="M31" s="268">
        <f t="shared" si="20"/>
        <v>18778.623011394688</v>
      </c>
      <c r="N31" s="269">
        <f t="shared" si="20"/>
        <v>18778.623011394688</v>
      </c>
      <c r="O31" s="270">
        <f t="shared" si="20"/>
        <v>17896.623011394688</v>
      </c>
      <c r="P31" s="263">
        <f t="shared" si="20"/>
        <v>17896.623011394688</v>
      </c>
      <c r="Q31" s="264">
        <f t="shared" si="20"/>
        <v>18484.623011394688</v>
      </c>
      <c r="R31" s="265">
        <f t="shared" si="20"/>
        <v>18484.623011394688</v>
      </c>
      <c r="S31" s="266">
        <f t="shared" si="20"/>
        <v>15697.28967806135</v>
      </c>
      <c r="T31" s="267">
        <f t="shared" si="20"/>
        <v>15697.28967806135</v>
      </c>
      <c r="U31" s="268">
        <f t="shared" si="20"/>
        <v>15697.28967806135</v>
      </c>
      <c r="V31" s="269">
        <f t="shared" si="20"/>
        <v>15697.28967806135</v>
      </c>
      <c r="W31" s="270">
        <f>SUM(W22:W27,W30)</f>
        <v>20652.758652976612</v>
      </c>
      <c r="X31" s="263">
        <f t="shared" si="20"/>
        <v>16012.758652976614</v>
      </c>
      <c r="Y31" s="264">
        <f t="shared" si="20"/>
        <v>16012.758652976614</v>
      </c>
      <c r="Z31" s="292"/>
      <c r="AA31" s="289"/>
      <c r="AB31" s="289"/>
      <c r="AC31" s="289"/>
      <c r="AD31" s="289"/>
      <c r="AE31" s="289"/>
      <c r="AF31" s="232"/>
      <c r="AG31" s="232"/>
      <c r="AH31" s="285"/>
      <c r="AI31" s="286"/>
      <c r="AJ31" s="281"/>
      <c r="AK31" s="281"/>
      <c r="AL31" s="285"/>
      <c r="AM31" s="286"/>
      <c r="AN31" s="281"/>
      <c r="AQ31" s="291"/>
    </row>
    <row r="32" spans="1:43" ht="16.5" thickTop="1" thickBot="1" x14ac:dyDescent="0.3">
      <c r="A32" s="181"/>
      <c r="B32" s="278"/>
      <c r="C32" s="279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2"/>
      <c r="AA32" s="289"/>
      <c r="AB32" s="289"/>
      <c r="AC32" s="289"/>
      <c r="AD32" s="289"/>
      <c r="AE32" s="289"/>
      <c r="AF32" s="232"/>
      <c r="AG32" s="232"/>
      <c r="AH32" s="285"/>
      <c r="AI32" s="286"/>
      <c r="AJ32" s="281"/>
      <c r="AK32" s="281"/>
      <c r="AL32" s="285"/>
      <c r="AM32" s="286"/>
      <c r="AN32" s="281"/>
      <c r="AQ32" s="291"/>
    </row>
    <row r="33" spans="1:46" ht="16.5" thickTop="1" thickBot="1" x14ac:dyDescent="0.3">
      <c r="A33" s="4"/>
      <c r="B33" s="278"/>
      <c r="C33" s="279" t="s">
        <v>132</v>
      </c>
      <c r="D33" s="295"/>
      <c r="E33" s="295"/>
      <c r="F33" s="296"/>
      <c r="G33" s="296"/>
      <c r="H33" s="297">
        <v>0</v>
      </c>
      <c r="I33" s="298">
        <f>I31/G15-H31/F15</f>
        <v>0</v>
      </c>
      <c r="J33" s="299">
        <f t="shared" ref="J33:Y33" si="21">J31/H15-I31/G15</f>
        <v>0</v>
      </c>
      <c r="K33" s="300">
        <f t="shared" si="21"/>
        <v>0</v>
      </c>
      <c r="L33" s="301">
        <f t="shared" si="21"/>
        <v>0</v>
      </c>
      <c r="M33" s="302">
        <f t="shared" si="21"/>
        <v>0</v>
      </c>
      <c r="N33" s="303">
        <f t="shared" si="21"/>
        <v>0</v>
      </c>
      <c r="O33" s="304">
        <f>O31/M15-N31/L15</f>
        <v>-0.12599999999999989</v>
      </c>
      <c r="P33" s="297">
        <f t="shared" si="21"/>
        <v>0</v>
      </c>
      <c r="Q33" s="298">
        <f t="shared" si="21"/>
        <v>8.4000000000000075E-2</v>
      </c>
      <c r="R33" s="299">
        <f t="shared" si="21"/>
        <v>0</v>
      </c>
      <c r="S33" s="300">
        <f t="shared" si="21"/>
        <v>-0.39819047619047687</v>
      </c>
      <c r="T33" s="301">
        <f t="shared" si="21"/>
        <v>0</v>
      </c>
      <c r="U33" s="302">
        <f t="shared" si="21"/>
        <v>0</v>
      </c>
      <c r="V33" s="303">
        <f t="shared" si="21"/>
        <v>0</v>
      </c>
      <c r="W33" s="304">
        <f>(W31-W27)/U15-V31/T15</f>
        <v>4.5066996416466054E-2</v>
      </c>
      <c r="X33" s="297">
        <f>X31/V15-(W31-W27)/U15</f>
        <v>0</v>
      </c>
      <c r="Y33" s="298">
        <f t="shared" si="21"/>
        <v>0</v>
      </c>
      <c r="Z33" s="292"/>
      <c r="AF33" s="232"/>
      <c r="AG33" s="232"/>
      <c r="AH33" s="285"/>
      <c r="AI33" s="286"/>
      <c r="AJ33" s="281"/>
      <c r="AK33" s="281"/>
      <c r="AL33" s="285"/>
      <c r="AM33" s="286"/>
      <c r="AN33" s="281"/>
    </row>
    <row r="34" spans="1:46" ht="15.75" thickTop="1" x14ac:dyDescent="0.25">
      <c r="A34" s="4"/>
      <c r="Z34" s="181"/>
      <c r="AA34" s="283" t="s">
        <v>133</v>
      </c>
      <c r="AB34" s="284"/>
      <c r="AC34" s="284"/>
      <c r="AD34" s="284"/>
      <c r="AE34" s="284"/>
      <c r="AF34" s="232"/>
      <c r="AG34" s="232"/>
      <c r="AH34" s="285"/>
      <c r="AI34" s="286"/>
      <c r="AJ34" s="281"/>
      <c r="AK34" s="281"/>
      <c r="AL34" s="285"/>
      <c r="AM34" s="286"/>
      <c r="AN34" s="281"/>
    </row>
    <row r="35" spans="1:46" x14ac:dyDescent="0.25">
      <c r="A35" s="4"/>
      <c r="Z35" s="181"/>
      <c r="AA35" s="284"/>
      <c r="AB35" s="284"/>
      <c r="AC35" s="284"/>
      <c r="AD35" s="479" t="s">
        <v>3</v>
      </c>
      <c r="AE35" s="479" t="s">
        <v>4</v>
      </c>
      <c r="AF35" s="232"/>
      <c r="AG35" s="232"/>
      <c r="AH35" s="285"/>
      <c r="AI35" s="286"/>
      <c r="AJ35" s="281"/>
      <c r="AK35" s="281"/>
      <c r="AL35" s="285"/>
      <c r="AM35" s="286"/>
      <c r="AN35" s="281"/>
    </row>
    <row r="36" spans="1:46" ht="15.75" thickBot="1" x14ac:dyDescent="0.3">
      <c r="A36" s="4"/>
      <c r="E36" s="229">
        <v>42370</v>
      </c>
      <c r="F36" s="228">
        <v>42401</v>
      </c>
      <c r="G36" s="228">
        <v>42430</v>
      </c>
      <c r="H36" s="228">
        <v>42461</v>
      </c>
      <c r="I36" s="228">
        <v>42491</v>
      </c>
      <c r="J36" s="228">
        <v>42522</v>
      </c>
      <c r="K36" s="228">
        <v>42552</v>
      </c>
      <c r="L36" s="228">
        <v>42583</v>
      </c>
      <c r="M36" s="228">
        <v>42614</v>
      </c>
      <c r="N36" s="228">
        <v>42644</v>
      </c>
      <c r="O36" s="228">
        <v>42675</v>
      </c>
      <c r="P36" s="228">
        <v>42705</v>
      </c>
      <c r="Q36" s="228">
        <v>42736</v>
      </c>
      <c r="R36" s="228">
        <v>42767</v>
      </c>
      <c r="S36" s="228">
        <v>42795</v>
      </c>
      <c r="T36" s="228">
        <v>42826</v>
      </c>
      <c r="U36" s="228">
        <v>42856</v>
      </c>
      <c r="V36" s="228">
        <v>42887</v>
      </c>
      <c r="W36" s="228">
        <v>42917</v>
      </c>
      <c r="X36" s="228">
        <v>42948</v>
      </c>
      <c r="Y36" s="228">
        <v>42979</v>
      </c>
      <c r="Z36" s="181"/>
      <c r="AA36" s="284"/>
      <c r="AB36" s="288" t="s">
        <v>5</v>
      </c>
      <c r="AC36" s="288" t="s">
        <v>6</v>
      </c>
      <c r="AD36" s="479"/>
      <c r="AE36" s="479"/>
      <c r="AF36" s="232"/>
      <c r="AG36" s="232"/>
      <c r="AH36" s="285"/>
      <c r="AI36" s="286"/>
      <c r="AJ36" s="281"/>
      <c r="AK36" s="281"/>
      <c r="AL36" s="285"/>
      <c r="AM36" s="286"/>
      <c r="AN36" s="281"/>
      <c r="AP36" s="486"/>
      <c r="AQ36" s="487"/>
      <c r="AR36" s="487"/>
      <c r="AS36" s="487"/>
      <c r="AT36" s="487"/>
    </row>
    <row r="37" spans="1:46" x14ac:dyDescent="0.25">
      <c r="A37" s="4"/>
      <c r="D37" s="140" t="s">
        <v>134</v>
      </c>
      <c r="E37" s="305">
        <f t="shared" ref="E37:Y37" si="22">E19</f>
        <v>0</v>
      </c>
      <c r="F37" s="305">
        <f t="shared" si="22"/>
        <v>0</v>
      </c>
      <c r="G37" s="305">
        <f>G19</f>
        <v>66990</v>
      </c>
      <c r="H37" s="305">
        <f t="shared" si="22"/>
        <v>64470</v>
      </c>
      <c r="I37" s="305">
        <f t="shared" si="22"/>
        <v>65309.999999999985</v>
      </c>
      <c r="J37" s="305">
        <f t="shared" si="22"/>
        <v>65519.999999999993</v>
      </c>
      <c r="K37" s="305">
        <f t="shared" si="22"/>
        <v>65519.999999999993</v>
      </c>
      <c r="L37" s="305">
        <f t="shared" si="22"/>
        <v>65380.000000000007</v>
      </c>
      <c r="M37" s="305">
        <f t="shared" si="22"/>
        <v>63490.000000000015</v>
      </c>
      <c r="N37" s="305">
        <f>N19</f>
        <v>64749.999999999993</v>
      </c>
      <c r="O37" s="305">
        <f t="shared" si="22"/>
        <v>62929.999999999985</v>
      </c>
      <c r="P37" s="305">
        <f t="shared" si="22"/>
        <v>64470.000000000007</v>
      </c>
      <c r="Q37" s="305">
        <f t="shared" si="22"/>
        <v>65296</v>
      </c>
      <c r="R37" s="305">
        <f t="shared" si="22"/>
        <v>64708</v>
      </c>
      <c r="S37" s="305">
        <f t="shared" si="22"/>
        <v>59133.333333333314</v>
      </c>
      <c r="T37" s="305">
        <f t="shared" si="22"/>
        <v>61920.666666666657</v>
      </c>
      <c r="U37" s="305">
        <f t="shared" si="22"/>
        <v>61920.666666666657</v>
      </c>
      <c r="V37" s="305">
        <f>V19</f>
        <v>61920.666666666657</v>
      </c>
      <c r="W37" s="305">
        <f t="shared" si="22"/>
        <v>62551.604616497192</v>
      </c>
      <c r="X37" s="305">
        <f t="shared" si="22"/>
        <v>62236.135641581925</v>
      </c>
      <c r="Y37" s="305">
        <f t="shared" si="22"/>
        <v>62236.135641581925</v>
      </c>
      <c r="Z37" s="181"/>
      <c r="AA37" s="289"/>
      <c r="AB37" s="289">
        <v>0</v>
      </c>
      <c r="AC37" s="289">
        <v>1099</v>
      </c>
      <c r="AD37" s="290">
        <v>200</v>
      </c>
      <c r="AE37" s="290">
        <f>AD37/4</f>
        <v>50</v>
      </c>
      <c r="AF37" s="232"/>
      <c r="AG37" s="232"/>
      <c r="AH37" s="285"/>
      <c r="AI37" s="286"/>
      <c r="AJ37" s="281"/>
      <c r="AK37" s="281"/>
      <c r="AL37" s="285"/>
      <c r="AM37" s="286"/>
      <c r="AN37" s="281"/>
      <c r="AP37" s="486"/>
      <c r="AQ37" s="487"/>
      <c r="AR37" s="487"/>
      <c r="AS37" s="487"/>
      <c r="AT37" s="487"/>
    </row>
    <row r="38" spans="1:46" x14ac:dyDescent="0.25">
      <c r="A38" s="4"/>
      <c r="D38" s="140" t="s">
        <v>135</v>
      </c>
      <c r="F38" s="306"/>
      <c r="G38" s="306">
        <f t="shared" ref="G38:Y38" si="23">G37/$G$37</f>
        <v>1</v>
      </c>
      <c r="H38" s="306">
        <f t="shared" si="23"/>
        <v>0.96238244514106586</v>
      </c>
      <c r="I38" s="306">
        <f t="shared" si="23"/>
        <v>0.97492163009404365</v>
      </c>
      <c r="J38" s="306">
        <f>J37/$G$37</f>
        <v>0.97805642633228829</v>
      </c>
      <c r="K38" s="306">
        <f t="shared" si="23"/>
        <v>0.97805642633228829</v>
      </c>
      <c r="L38" s="306">
        <f t="shared" si="23"/>
        <v>0.97596656217345878</v>
      </c>
      <c r="M38" s="306">
        <f t="shared" si="23"/>
        <v>0.94775339602925834</v>
      </c>
      <c r="N38" s="306">
        <f t="shared" si="23"/>
        <v>0.96656217345872508</v>
      </c>
      <c r="O38" s="306">
        <f t="shared" si="23"/>
        <v>0.93939393939393923</v>
      </c>
      <c r="P38" s="306">
        <f t="shared" si="23"/>
        <v>0.96238244514106597</v>
      </c>
      <c r="Q38" s="306">
        <f t="shared" si="23"/>
        <v>0.97471264367816091</v>
      </c>
      <c r="R38" s="306">
        <f t="shared" si="23"/>
        <v>0.96593521421107631</v>
      </c>
      <c r="S38" s="306">
        <f t="shared" si="23"/>
        <v>0.88271881375329619</v>
      </c>
      <c r="T38" s="306">
        <f t="shared" si="23"/>
        <v>0.9243270139821862</v>
      </c>
      <c r="U38" s="306">
        <f t="shared" si="23"/>
        <v>0.9243270139821862</v>
      </c>
      <c r="V38" s="306">
        <f t="shared" si="23"/>
        <v>0.9243270139821862</v>
      </c>
      <c r="W38" s="306">
        <f t="shared" si="23"/>
        <v>0.9337454040378742</v>
      </c>
      <c r="X38" s="306">
        <f t="shared" si="23"/>
        <v>0.92903620901003026</v>
      </c>
      <c r="Y38" s="306">
        <f t="shared" si="23"/>
        <v>0.92903620901003026</v>
      </c>
      <c r="Z38" s="181"/>
      <c r="AA38" s="289"/>
      <c r="AB38" s="289">
        <v>1100</v>
      </c>
      <c r="AC38" s="289">
        <v>1599</v>
      </c>
      <c r="AD38" s="290">
        <v>1926</v>
      </c>
      <c r="AE38" s="290">
        <f>AD38/4</f>
        <v>481.5</v>
      </c>
      <c r="AH38" s="285"/>
      <c r="AI38" s="286"/>
      <c r="AJ38" s="281"/>
      <c r="AK38" s="281"/>
      <c r="AL38" s="285"/>
      <c r="AM38" s="286"/>
      <c r="AN38" s="281"/>
    </row>
    <row r="39" spans="1:46" x14ac:dyDescent="0.25">
      <c r="A39" s="4"/>
      <c r="Z39" s="181"/>
      <c r="AA39" s="289"/>
      <c r="AB39" s="289">
        <v>1600</v>
      </c>
      <c r="AC39" s="289">
        <v>2499</v>
      </c>
      <c r="AD39" s="290">
        <v>2695</v>
      </c>
      <c r="AE39" s="290">
        <f>AD39/4</f>
        <v>673.75</v>
      </c>
      <c r="AF39" s="232"/>
      <c r="AG39" s="232"/>
      <c r="AH39" s="285"/>
      <c r="AI39" s="286"/>
      <c r="AJ39" s="281"/>
      <c r="AK39" s="281"/>
      <c r="AL39" s="285"/>
      <c r="AM39" s="286"/>
      <c r="AN39" s="281"/>
    </row>
    <row r="40" spans="1:46" x14ac:dyDescent="0.25">
      <c r="A40" s="4"/>
      <c r="Z40" s="181"/>
      <c r="AA40" s="289"/>
      <c r="AB40" s="289">
        <v>2500</v>
      </c>
      <c r="AC40" s="289" t="s">
        <v>7</v>
      </c>
      <c r="AD40" s="289">
        <v>0.56399999999999995</v>
      </c>
      <c r="AE40" s="289" t="s">
        <v>8</v>
      </c>
      <c r="AF40" s="307"/>
      <c r="AG40" s="308"/>
      <c r="AH40" s="285"/>
      <c r="AI40" s="286"/>
      <c r="AJ40" s="281"/>
      <c r="AK40" s="281"/>
      <c r="AL40" s="285"/>
      <c r="AM40" s="286"/>
      <c r="AN40" s="281"/>
      <c r="AO40" s="156"/>
    </row>
    <row r="41" spans="1:46" x14ac:dyDescent="0.25">
      <c r="A41" s="4"/>
      <c r="D41" s="92"/>
      <c r="E41" s="92"/>
      <c r="F41" s="92"/>
      <c r="G41" s="92"/>
      <c r="Z41" s="181"/>
      <c r="AA41" s="232"/>
      <c r="AB41" s="232"/>
      <c r="AC41" s="232"/>
      <c r="AD41" s="232"/>
      <c r="AE41" s="232"/>
      <c r="AF41" s="309"/>
      <c r="AG41" s="309"/>
      <c r="AH41" s="285"/>
      <c r="AI41" s="286"/>
      <c r="AJ41" s="281"/>
      <c r="AK41" s="281"/>
      <c r="AL41" s="285"/>
      <c r="AM41" s="286"/>
      <c r="AN41" s="281"/>
    </row>
    <row r="42" spans="1:46" x14ac:dyDescent="0.25">
      <c r="A42" s="4"/>
      <c r="Z42" s="181"/>
      <c r="AA42" s="283" t="s">
        <v>136</v>
      </c>
      <c r="AB42" s="284"/>
      <c r="AC42" s="284"/>
      <c r="AD42" s="284"/>
      <c r="AE42" s="284"/>
      <c r="AF42" s="309"/>
      <c r="AG42" s="309"/>
      <c r="AH42" s="285"/>
      <c r="AI42" s="286"/>
      <c r="AJ42" s="281"/>
      <c r="AK42" s="281"/>
      <c r="AL42" s="285"/>
      <c r="AM42" s="286"/>
      <c r="AN42" s="281"/>
    </row>
    <row r="43" spans="1:46" x14ac:dyDescent="0.25">
      <c r="A43" s="4"/>
      <c r="Z43" s="181"/>
      <c r="AA43" s="284"/>
      <c r="AB43" s="284"/>
      <c r="AC43" s="284"/>
      <c r="AD43" s="479" t="s">
        <v>3</v>
      </c>
      <c r="AE43" s="479" t="s">
        <v>4</v>
      </c>
      <c r="AF43" s="309"/>
      <c r="AG43" s="309"/>
      <c r="AH43" s="285"/>
      <c r="AI43" s="286"/>
      <c r="AJ43" s="281"/>
      <c r="AK43" s="281"/>
      <c r="AL43" s="285"/>
      <c r="AM43" s="286"/>
      <c r="AN43" s="281"/>
    </row>
    <row r="44" spans="1:46" x14ac:dyDescent="0.25">
      <c r="Z44" s="181"/>
      <c r="AA44" s="284"/>
      <c r="AB44" s="288" t="s">
        <v>5</v>
      </c>
      <c r="AC44" s="288" t="s">
        <v>6</v>
      </c>
      <c r="AD44" s="479"/>
      <c r="AE44" s="479"/>
      <c r="AF44" s="309"/>
      <c r="AG44" s="309"/>
      <c r="AH44" s="310"/>
      <c r="AI44" s="311"/>
      <c r="AJ44" s="293"/>
      <c r="AK44" s="293"/>
      <c r="AL44" s="293"/>
      <c r="AM44" s="293"/>
      <c r="AN44" s="291"/>
    </row>
    <row r="45" spans="1:46" x14ac:dyDescent="0.25">
      <c r="Z45" s="181"/>
      <c r="AA45" s="289"/>
      <c r="AB45" s="289">
        <v>0</v>
      </c>
      <c r="AC45" s="289">
        <v>1099</v>
      </c>
      <c r="AD45" s="290">
        <v>100</v>
      </c>
      <c r="AE45" s="290">
        <f>AD45/2</f>
        <v>50</v>
      </c>
      <c r="AF45" s="309"/>
      <c r="AG45" s="309"/>
      <c r="AH45" s="310"/>
      <c r="AI45" s="311"/>
      <c r="AJ45" s="293"/>
      <c r="AK45" s="293"/>
      <c r="AL45" s="293"/>
      <c r="AM45" s="293"/>
      <c r="AN45" s="291"/>
    </row>
    <row r="46" spans="1:46" x14ac:dyDescent="0.25">
      <c r="Z46" s="181"/>
      <c r="AA46" s="289"/>
      <c r="AB46" s="289">
        <v>1100</v>
      </c>
      <c r="AC46" s="289">
        <v>1599</v>
      </c>
      <c r="AD46" s="290">
        <v>748</v>
      </c>
      <c r="AE46" s="290">
        <f>AD46/2</f>
        <v>374</v>
      </c>
      <c r="AF46" s="309"/>
      <c r="AG46" s="309"/>
      <c r="AH46" s="310"/>
      <c r="AI46" s="311"/>
      <c r="AJ46" s="293"/>
      <c r="AK46" s="293"/>
      <c r="AL46" s="293"/>
      <c r="AM46" s="293"/>
      <c r="AN46" s="291"/>
    </row>
    <row r="47" spans="1:46" x14ac:dyDescent="0.25">
      <c r="Z47" s="181"/>
      <c r="AA47" s="289"/>
      <c r="AB47" s="289">
        <v>1600</v>
      </c>
      <c r="AC47" s="289">
        <v>2499</v>
      </c>
      <c r="AD47" s="290">
        <v>1047</v>
      </c>
      <c r="AE47" s="290">
        <f>AD47/2</f>
        <v>523.5</v>
      </c>
      <c r="AF47" s="309"/>
      <c r="AG47" s="309"/>
      <c r="AH47" s="310"/>
      <c r="AI47" s="311"/>
      <c r="AJ47" s="312"/>
      <c r="AK47" s="313"/>
      <c r="AL47" s="293"/>
      <c r="AM47" s="293"/>
      <c r="AN47" s="291"/>
    </row>
    <row r="48" spans="1:46" x14ac:dyDescent="0.25">
      <c r="Z48" s="181"/>
      <c r="AA48" s="289"/>
      <c r="AB48" s="289">
        <v>2500</v>
      </c>
      <c r="AC48" s="289" t="s">
        <v>7</v>
      </c>
      <c r="AD48" s="289">
        <v>0.438</v>
      </c>
      <c r="AE48" s="289" t="s">
        <v>8</v>
      </c>
      <c r="AF48" s="309"/>
      <c r="AG48" s="309"/>
      <c r="AH48" s="310"/>
      <c r="AI48" s="311"/>
      <c r="AJ48" s="4"/>
      <c r="AK48" s="4"/>
      <c r="AL48" s="4"/>
      <c r="AM48" s="4"/>
    </row>
    <row r="49" spans="8:41" x14ac:dyDescent="0.25">
      <c r="H49" s="140"/>
      <c r="I49" s="140"/>
      <c r="Z49" s="181"/>
      <c r="AA49" s="232"/>
      <c r="AB49" s="232"/>
      <c r="AC49" s="232"/>
      <c r="AD49" s="232"/>
      <c r="AE49" s="232"/>
      <c r="AF49" s="309"/>
      <c r="AG49" s="309"/>
      <c r="AH49" s="310"/>
      <c r="AI49" s="311"/>
      <c r="AJ49" s="4"/>
      <c r="AK49" s="4"/>
      <c r="AL49" s="4"/>
      <c r="AM49" s="4"/>
      <c r="AO49" s="314"/>
    </row>
    <row r="50" spans="8:41" x14ac:dyDescent="0.25">
      <c r="H50" s="140"/>
      <c r="I50" s="140"/>
      <c r="Z50" s="181"/>
      <c r="AA50" s="283" t="s">
        <v>137</v>
      </c>
      <c r="AB50" s="284"/>
      <c r="AC50" s="284"/>
      <c r="AD50" s="284"/>
      <c r="AE50" s="284"/>
      <c r="AF50" s="309"/>
      <c r="AG50" s="309"/>
      <c r="AH50" s="310"/>
      <c r="AI50" s="311"/>
      <c r="AJ50" s="4"/>
      <c r="AK50" s="4"/>
      <c r="AL50" s="4"/>
      <c r="AM50" s="4"/>
    </row>
    <row r="51" spans="8:41" x14ac:dyDescent="0.25">
      <c r="H51" s="140"/>
      <c r="I51" s="140"/>
      <c r="Z51" s="181"/>
      <c r="AA51" s="284"/>
      <c r="AB51" s="284"/>
      <c r="AC51" s="284"/>
      <c r="AD51" s="479" t="s">
        <v>3</v>
      </c>
      <c r="AE51" s="479" t="s">
        <v>4</v>
      </c>
      <c r="AF51" s="309"/>
      <c r="AG51" s="309"/>
      <c r="AH51" s="310"/>
      <c r="AI51" s="311"/>
      <c r="AJ51" s="4"/>
      <c r="AK51" s="4"/>
      <c r="AL51" s="4"/>
      <c r="AM51" s="4"/>
    </row>
    <row r="52" spans="8:41" x14ac:dyDescent="0.25">
      <c r="H52" s="140"/>
      <c r="I52" s="140"/>
      <c r="Z52" s="181"/>
      <c r="AA52" s="284"/>
      <c r="AB52" s="288" t="s">
        <v>5</v>
      </c>
      <c r="AC52" s="288" t="s">
        <v>6</v>
      </c>
      <c r="AD52" s="479"/>
      <c r="AE52" s="479"/>
      <c r="AF52" s="309"/>
      <c r="AG52" s="309"/>
      <c r="AH52" s="310"/>
      <c r="AI52" s="311"/>
      <c r="AJ52" s="4"/>
      <c r="AK52" s="4"/>
      <c r="AL52" s="4"/>
      <c r="AM52" s="4"/>
    </row>
    <row r="53" spans="8:41" x14ac:dyDescent="0.25">
      <c r="Z53" s="181"/>
      <c r="AA53" s="289"/>
      <c r="AB53" s="289">
        <v>0</v>
      </c>
      <c r="AC53" s="289">
        <v>1099</v>
      </c>
      <c r="AD53" s="290">
        <f>2*AE53</f>
        <v>100</v>
      </c>
      <c r="AE53" s="290">
        <v>50</v>
      </c>
      <c r="AH53" s="310"/>
      <c r="AI53" s="311"/>
      <c r="AJ53" s="4"/>
      <c r="AK53" s="4"/>
      <c r="AL53" s="315"/>
      <c r="AM53" s="315"/>
    </row>
    <row r="54" spans="8:41" x14ac:dyDescent="0.25">
      <c r="Z54" s="181"/>
      <c r="AA54" s="289"/>
      <c r="AB54" s="289">
        <v>1100</v>
      </c>
      <c r="AC54" s="289">
        <v>1599</v>
      </c>
      <c r="AD54" s="290">
        <f t="shared" ref="AD54:AD55" si="24">2*AE54</f>
        <v>891</v>
      </c>
      <c r="AE54" s="290">
        <v>445.5</v>
      </c>
      <c r="AH54" s="310"/>
      <c r="AI54" s="311"/>
      <c r="AJ54" s="4"/>
      <c r="AK54" s="4"/>
    </row>
    <row r="55" spans="8:41" x14ac:dyDescent="0.25">
      <c r="Z55" s="181"/>
      <c r="AA55" s="289"/>
      <c r="AB55" s="289">
        <v>1600</v>
      </c>
      <c r="AC55" s="289">
        <v>2499</v>
      </c>
      <c r="AD55" s="290">
        <f t="shared" si="24"/>
        <v>1247.3333333333333</v>
      </c>
      <c r="AE55" s="290">
        <v>623.66666666666663</v>
      </c>
      <c r="AF55" s="316"/>
      <c r="AG55" s="316"/>
      <c r="AH55" s="310"/>
      <c r="AI55" s="311"/>
      <c r="AJ55" s="4"/>
      <c r="AK55" s="4"/>
    </row>
    <row r="56" spans="8:41" x14ac:dyDescent="0.25">
      <c r="Z56" s="181"/>
      <c r="AA56" s="289"/>
      <c r="AB56" s="289">
        <v>2500</v>
      </c>
      <c r="AC56" s="289" t="s">
        <v>7</v>
      </c>
      <c r="AD56" s="289">
        <v>0.52200000000000002</v>
      </c>
      <c r="AE56" s="289" t="s">
        <v>8</v>
      </c>
      <c r="AH56" s="285"/>
      <c r="AI56" s="286"/>
    </row>
    <row r="57" spans="8:41" x14ac:dyDescent="0.25">
      <c r="Z57" s="181"/>
      <c r="AA57" s="232"/>
      <c r="AB57" s="232"/>
      <c r="AC57" s="232"/>
      <c r="AD57" s="232"/>
      <c r="AE57" s="232"/>
    </row>
    <row r="58" spans="8:41" x14ac:dyDescent="0.25">
      <c r="Z58" s="181"/>
      <c r="AA58" s="317" t="s">
        <v>138</v>
      </c>
      <c r="AB58" s="318"/>
      <c r="AC58" s="318"/>
      <c r="AD58" s="318" t="s">
        <v>139</v>
      </c>
      <c r="AE58" s="319">
        <v>80000</v>
      </c>
    </row>
    <row r="59" spans="8:41" x14ac:dyDescent="0.25">
      <c r="Z59" s="181"/>
      <c r="AA59" s="318"/>
      <c r="AB59" s="318"/>
      <c r="AC59" s="318"/>
      <c r="AD59" s="318" t="s">
        <v>140</v>
      </c>
      <c r="AE59" s="320">
        <v>1</v>
      </c>
    </row>
    <row r="60" spans="8:41" x14ac:dyDescent="0.25">
      <c r="Z60" s="181"/>
      <c r="AA60" s="232"/>
      <c r="AB60" s="232"/>
      <c r="AC60" s="232"/>
      <c r="AD60" s="232"/>
      <c r="AE60" s="232"/>
    </row>
    <row r="61" spans="8:41" x14ac:dyDescent="0.25">
      <c r="Z61" s="181"/>
      <c r="AA61" s="321" t="s">
        <v>141</v>
      </c>
      <c r="AB61" s="322"/>
      <c r="AC61" s="322"/>
      <c r="AD61" s="322" t="s">
        <v>142</v>
      </c>
      <c r="AE61" s="323">
        <v>800000000</v>
      </c>
    </row>
    <row r="62" spans="8:41" x14ac:dyDescent="0.25">
      <c r="Z62" s="181"/>
      <c r="AA62" s="322"/>
      <c r="AB62" s="322"/>
      <c r="AC62" s="322"/>
      <c r="AD62" s="322" t="s">
        <v>143</v>
      </c>
      <c r="AE62" s="324">
        <v>1033957704.3318864</v>
      </c>
    </row>
    <row r="63" spans="8:41" x14ac:dyDescent="0.25">
      <c r="Z63" s="181"/>
      <c r="AA63" s="322"/>
      <c r="AB63" s="322"/>
      <c r="AC63" s="322"/>
      <c r="AD63" s="322" t="s">
        <v>144</v>
      </c>
      <c r="AE63" s="325">
        <f>AE61/AE62</f>
        <v>0.77372603990308952</v>
      </c>
    </row>
    <row r="64" spans="8:41" x14ac:dyDescent="0.25">
      <c r="Z64" s="181"/>
      <c r="AA64" s="326"/>
      <c r="AB64" s="326"/>
      <c r="AC64" s="326"/>
      <c r="AD64" s="327" t="s">
        <v>145</v>
      </c>
      <c r="AE64" s="328">
        <v>0.9</v>
      </c>
    </row>
    <row r="65" spans="26:34" x14ac:dyDescent="0.25">
      <c r="Z65" s="181"/>
      <c r="AA65" s="326"/>
      <c r="AB65" s="326"/>
      <c r="AC65" s="326"/>
      <c r="AD65" s="327" t="s">
        <v>146</v>
      </c>
      <c r="AE65" s="329">
        <v>103081752.368622</v>
      </c>
    </row>
    <row r="66" spans="26:34" x14ac:dyDescent="0.25">
      <c r="Z66" s="181"/>
      <c r="AA66" s="326"/>
      <c r="AB66" s="326"/>
      <c r="AC66" s="326"/>
      <c r="AD66" s="327" t="s">
        <v>147</v>
      </c>
      <c r="AE66" s="330">
        <f>AE65/AE62</f>
        <v>9.9696295058056036E-2</v>
      </c>
    </row>
    <row r="67" spans="26:34" x14ac:dyDescent="0.25">
      <c r="Z67" s="181"/>
    </row>
    <row r="68" spans="26:34" x14ac:dyDescent="0.25">
      <c r="Z68" s="181"/>
      <c r="AA68" s="331" t="s">
        <v>148</v>
      </c>
      <c r="AB68" s="326"/>
      <c r="AC68" s="326"/>
      <c r="AD68" s="327" t="s">
        <v>149</v>
      </c>
      <c r="AE68" s="329">
        <v>120000000</v>
      </c>
      <c r="AF68" s="332" t="s">
        <v>150</v>
      </c>
    </row>
    <row r="69" spans="26:34" x14ac:dyDescent="0.25">
      <c r="Z69" s="181"/>
      <c r="AA69" s="326"/>
      <c r="AB69" s="326"/>
      <c r="AC69" s="326"/>
      <c r="AD69" s="327" t="s">
        <v>151</v>
      </c>
      <c r="AE69" s="333">
        <f>AE68/(AE62*(10/12))</f>
        <v>0.13927068718255611</v>
      </c>
    </row>
    <row r="70" spans="26:34" x14ac:dyDescent="0.25">
      <c r="Z70" s="181"/>
      <c r="AA70" s="326"/>
      <c r="AB70" s="326"/>
      <c r="AC70" s="326"/>
      <c r="AD70" s="327" t="s">
        <v>152</v>
      </c>
      <c r="AE70" s="334">
        <v>42522</v>
      </c>
      <c r="AF70" s="335"/>
      <c r="AG70" s="335"/>
    </row>
    <row r="71" spans="26:34" x14ac:dyDescent="0.25">
      <c r="Z71" s="181"/>
      <c r="AD71" s="140"/>
      <c r="AE71" s="336"/>
      <c r="AH71" s="156"/>
    </row>
    <row r="72" spans="26:34" x14ac:dyDescent="0.25">
      <c r="Z72" s="4"/>
      <c r="AA72" s="321" t="s">
        <v>153</v>
      </c>
      <c r="AB72" s="322"/>
      <c r="AC72" s="322"/>
      <c r="AD72" s="322" t="s">
        <v>154</v>
      </c>
      <c r="AE72" s="323">
        <v>800000000</v>
      </c>
    </row>
    <row r="73" spans="26:34" x14ac:dyDescent="0.25">
      <c r="Z73" s="4"/>
      <c r="AA73" s="337"/>
      <c r="AB73" s="322"/>
      <c r="AC73" s="322"/>
      <c r="AD73" s="322" t="s">
        <v>155</v>
      </c>
      <c r="AE73" s="324">
        <v>1054636858.418524</v>
      </c>
    </row>
    <row r="74" spans="26:34" x14ac:dyDescent="0.25">
      <c r="Z74" s="4"/>
      <c r="AA74" s="326"/>
      <c r="AB74" s="326"/>
      <c r="AC74" s="326"/>
      <c r="AD74" s="327" t="s">
        <v>144</v>
      </c>
      <c r="AE74" s="328">
        <f>AE72/AE73</f>
        <v>0.75855494108146038</v>
      </c>
      <c r="AF74" s="146"/>
      <c r="AG74" s="146"/>
    </row>
    <row r="75" spans="26:34" x14ac:dyDescent="0.25">
      <c r="Z75" s="4"/>
      <c r="AD75" s="140"/>
      <c r="AE75" s="336"/>
    </row>
    <row r="76" spans="26:34" x14ac:dyDescent="0.25">
      <c r="AA76" s="338" t="s">
        <v>156</v>
      </c>
      <c r="AB76" s="216"/>
      <c r="AC76" s="216"/>
      <c r="AD76" s="216"/>
      <c r="AE76" s="216"/>
    </row>
    <row r="77" spans="26:34" x14ac:dyDescent="0.25">
      <c r="AA77" s="216"/>
      <c r="AB77" s="216"/>
      <c r="AC77" s="216"/>
      <c r="AD77" s="488" t="s">
        <v>3</v>
      </c>
      <c r="AE77" s="488" t="s">
        <v>4</v>
      </c>
    </row>
    <row r="78" spans="26:34" ht="15" customHeight="1" x14ac:dyDescent="0.25">
      <c r="AA78" s="216"/>
      <c r="AB78" s="339" t="s">
        <v>5</v>
      </c>
      <c r="AC78" s="339" t="s">
        <v>6</v>
      </c>
      <c r="AD78" s="488"/>
      <c r="AE78" s="488"/>
    </row>
    <row r="79" spans="26:34" x14ac:dyDescent="0.25">
      <c r="AA79" s="340"/>
      <c r="AB79" s="340">
        <v>2500</v>
      </c>
      <c r="AC79" s="340">
        <v>2829</v>
      </c>
      <c r="AD79" s="341">
        <v>23278</v>
      </c>
      <c r="AE79" s="341">
        <f>AD79/12</f>
        <v>1939.8333333333333</v>
      </c>
    </row>
    <row r="80" spans="26:34" x14ac:dyDescent="0.25">
      <c r="AA80" s="340"/>
      <c r="AB80" s="340">
        <v>2830</v>
      </c>
      <c r="AC80" s="340">
        <v>3149</v>
      </c>
      <c r="AD80" s="341">
        <v>24190</v>
      </c>
      <c r="AE80" s="341">
        <f>AD80/12</f>
        <v>2015.8333333333333</v>
      </c>
    </row>
    <row r="81" spans="26:36" x14ac:dyDescent="0.25">
      <c r="AA81" s="340"/>
      <c r="AB81" s="340">
        <v>3150</v>
      </c>
      <c r="AC81" s="340" t="s">
        <v>7</v>
      </c>
      <c r="AD81" s="341">
        <v>25100</v>
      </c>
      <c r="AE81" s="341">
        <f>AD81/12</f>
        <v>2091.6666666666665</v>
      </c>
      <c r="AJ81" s="140"/>
    </row>
    <row r="82" spans="26:36" x14ac:dyDescent="0.25">
      <c r="AD82" s="148"/>
      <c r="AE82" s="148"/>
      <c r="AI82" s="336"/>
      <c r="AJ82" s="335"/>
    </row>
    <row r="83" spans="26:36" ht="15.75" thickBot="1" x14ac:dyDescent="0.3">
      <c r="AI83" s="336"/>
      <c r="AJ83" s="335"/>
    </row>
    <row r="84" spans="26:36" x14ac:dyDescent="0.25">
      <c r="AA84" s="342" t="s">
        <v>157</v>
      </c>
      <c r="AB84" s="343"/>
      <c r="AC84" s="343"/>
      <c r="AD84" s="343"/>
      <c r="AE84" s="343"/>
      <c r="AI84" s="336"/>
      <c r="AJ84" s="335"/>
    </row>
    <row r="85" spans="26:36" x14ac:dyDescent="0.25">
      <c r="Z85" s="4"/>
      <c r="AA85" s="216"/>
      <c r="AB85" s="216"/>
      <c r="AC85" s="216"/>
      <c r="AD85" s="488" t="s">
        <v>3</v>
      </c>
      <c r="AE85" s="488" t="s">
        <v>4</v>
      </c>
      <c r="AI85" s="336"/>
      <c r="AJ85" s="335"/>
    </row>
    <row r="86" spans="26:36" x14ac:dyDescent="0.25">
      <c r="Z86" s="4"/>
      <c r="AA86" s="216"/>
      <c r="AB86" s="339" t="s">
        <v>5</v>
      </c>
      <c r="AC86" s="339" t="s">
        <v>6</v>
      </c>
      <c r="AD86" s="488"/>
      <c r="AE86" s="488"/>
    </row>
    <row r="87" spans="26:36" x14ac:dyDescent="0.25">
      <c r="Z87" s="173"/>
      <c r="AA87" s="340"/>
      <c r="AB87" s="340">
        <v>2500</v>
      </c>
      <c r="AC87" s="340">
        <v>2828.9999999999995</v>
      </c>
      <c r="AD87" s="341">
        <v>18622.399999999998</v>
      </c>
      <c r="AE87" s="341">
        <v>1551.8666666666666</v>
      </c>
    </row>
    <row r="88" spans="26:36" x14ac:dyDescent="0.25">
      <c r="Z88" s="173"/>
      <c r="AA88" s="340"/>
      <c r="AB88" s="340">
        <v>2829.9999999999995</v>
      </c>
      <c r="AC88" s="340">
        <v>3149</v>
      </c>
      <c r="AD88" s="341">
        <v>19352</v>
      </c>
      <c r="AE88" s="341">
        <v>1612.6666666666667</v>
      </c>
    </row>
    <row r="89" spans="26:36" x14ac:dyDescent="0.25">
      <c r="Z89" s="173"/>
      <c r="AA89" s="340"/>
      <c r="AB89" s="340">
        <v>3150</v>
      </c>
      <c r="AC89" s="340" t="s">
        <v>7</v>
      </c>
      <c r="AD89" s="341">
        <v>20080</v>
      </c>
      <c r="AE89" s="341">
        <v>1673.3333333333333</v>
      </c>
      <c r="AJ89" s="156"/>
    </row>
    <row r="90" spans="26:36" x14ac:dyDescent="0.25">
      <c r="Z90" s="173"/>
      <c r="AD90" s="344"/>
      <c r="AE90" s="344"/>
      <c r="AJ90" s="156"/>
    </row>
    <row r="91" spans="26:36" x14ac:dyDescent="0.25">
      <c r="Z91" s="173"/>
      <c r="AA91" s="345"/>
      <c r="AB91" s="345"/>
      <c r="AC91" s="346" t="s">
        <v>158</v>
      </c>
      <c r="AD91" s="347">
        <v>1.1299999999999999</v>
      </c>
      <c r="AE91" s="348" t="s">
        <v>8</v>
      </c>
      <c r="AJ91" s="156"/>
    </row>
    <row r="92" spans="26:36" x14ac:dyDescent="0.25">
      <c r="Z92" s="173"/>
      <c r="AD92" s="148"/>
      <c r="AE92" s="148"/>
    </row>
    <row r="93" spans="26:36" ht="15.75" thickBot="1" x14ac:dyDescent="0.3">
      <c r="Z93" s="173"/>
      <c r="AD93" s="148"/>
      <c r="AE93" s="148"/>
    </row>
    <row r="94" spans="26:36" x14ac:dyDescent="0.25">
      <c r="Z94" s="173"/>
      <c r="AA94" s="342" t="s">
        <v>159</v>
      </c>
      <c r="AB94" s="343"/>
      <c r="AC94" s="349"/>
      <c r="AD94" s="343"/>
      <c r="AE94" s="343"/>
    </row>
    <row r="95" spans="26:36" x14ac:dyDescent="0.25">
      <c r="Z95" s="173"/>
      <c r="AA95" s="216"/>
      <c r="AB95" s="216"/>
      <c r="AC95" s="339"/>
      <c r="AD95" s="488" t="s">
        <v>3</v>
      </c>
      <c r="AE95" s="488" t="s">
        <v>4</v>
      </c>
    </row>
    <row r="96" spans="26:36" x14ac:dyDescent="0.25">
      <c r="Z96" s="173"/>
      <c r="AA96" s="339"/>
      <c r="AB96" s="339" t="s">
        <v>5</v>
      </c>
      <c r="AC96" s="339" t="s">
        <v>6</v>
      </c>
      <c r="AD96" s="488"/>
      <c r="AE96" s="488"/>
    </row>
    <row r="97" spans="26:31" x14ac:dyDescent="0.25">
      <c r="Z97" s="173"/>
      <c r="AA97" s="340"/>
      <c r="AB97" s="340">
        <v>2500</v>
      </c>
      <c r="AC97" s="350">
        <v>2828.9999999999995</v>
      </c>
      <c r="AD97" s="341">
        <v>13966.8</v>
      </c>
      <c r="AE97" s="341">
        <v>1163.8999999999999</v>
      </c>
    </row>
    <row r="98" spans="26:31" x14ac:dyDescent="0.25">
      <c r="Z98" s="173"/>
      <c r="AA98" s="351"/>
      <c r="AB98" s="351">
        <v>2829.9999999999995</v>
      </c>
      <c r="AC98" s="352">
        <v>3149</v>
      </c>
      <c r="AD98" s="341">
        <v>14514</v>
      </c>
      <c r="AE98" s="341">
        <v>1209.5</v>
      </c>
    </row>
    <row r="99" spans="26:31" x14ac:dyDescent="0.25">
      <c r="Z99" s="173"/>
      <c r="AA99" s="340"/>
      <c r="AB99" s="340">
        <v>3150</v>
      </c>
      <c r="AC99" s="352" t="s">
        <v>7</v>
      </c>
      <c r="AD99" s="341">
        <v>15060</v>
      </c>
      <c r="AE99" s="341">
        <v>1255</v>
      </c>
    </row>
    <row r="100" spans="26:31" x14ac:dyDescent="0.25">
      <c r="Z100" s="173"/>
      <c r="AC100" s="140"/>
      <c r="AD100" s="353"/>
      <c r="AE100" s="344"/>
    </row>
    <row r="101" spans="26:31" x14ac:dyDescent="0.25">
      <c r="Z101" s="173"/>
      <c r="AA101" s="345"/>
      <c r="AB101" s="345"/>
      <c r="AC101" s="346" t="s">
        <v>160</v>
      </c>
      <c r="AD101" s="347">
        <v>1.25</v>
      </c>
      <c r="AE101" s="354" t="s">
        <v>8</v>
      </c>
    </row>
    <row r="102" spans="26:31" x14ac:dyDescent="0.25">
      <c r="Z102" s="173"/>
      <c r="AC102" s="140"/>
      <c r="AD102" s="148"/>
      <c r="AE102" s="148"/>
    </row>
    <row r="103" spans="26:31" x14ac:dyDescent="0.25">
      <c r="Z103" s="173"/>
      <c r="AC103" s="140"/>
      <c r="AD103" s="148"/>
      <c r="AE103" s="148"/>
    </row>
    <row r="104" spans="26:31" x14ac:dyDescent="0.25">
      <c r="Z104" s="173"/>
      <c r="AC104" s="140"/>
      <c r="AD104" s="148"/>
      <c r="AE104" s="148"/>
    </row>
    <row r="105" spans="26:31" x14ac:dyDescent="0.25">
      <c r="Z105" s="173"/>
    </row>
    <row r="106" spans="26:31" x14ac:dyDescent="0.25">
      <c r="Z106" s="173"/>
    </row>
    <row r="107" spans="26:31" x14ac:dyDescent="0.25">
      <c r="Z107" s="173"/>
    </row>
    <row r="108" spans="26:31" x14ac:dyDescent="0.25">
      <c r="Z108" s="173"/>
    </row>
    <row r="109" spans="26:31" x14ac:dyDescent="0.25">
      <c r="Z109" s="173"/>
    </row>
    <row r="110" spans="26:31" x14ac:dyDescent="0.25">
      <c r="Z110" s="173"/>
    </row>
    <row r="111" spans="26:31" x14ac:dyDescent="0.25">
      <c r="Z111" s="173"/>
    </row>
    <row r="112" spans="26:31" x14ac:dyDescent="0.25">
      <c r="Z112" s="173"/>
    </row>
  </sheetData>
  <sheetProtection sheet="1" objects="1" scenarios="1"/>
  <mergeCells count="21">
    <mergeCell ref="AP36:AP37"/>
    <mergeCell ref="AQ36:AT37"/>
    <mergeCell ref="AD95:AD96"/>
    <mergeCell ref="AE95:AE96"/>
    <mergeCell ref="AD51:AD52"/>
    <mergeCell ref="AE51:AE52"/>
    <mergeCell ref="AD77:AD78"/>
    <mergeCell ref="AE77:AE78"/>
    <mergeCell ref="AD85:AD86"/>
    <mergeCell ref="AE85:AE86"/>
    <mergeCell ref="AD43:AD44"/>
    <mergeCell ref="AE43:AE44"/>
    <mergeCell ref="AD24:AD25"/>
    <mergeCell ref="AE24:AE25"/>
    <mergeCell ref="AD35:AD36"/>
    <mergeCell ref="AE35:AE36"/>
    <mergeCell ref="C4:T4"/>
    <mergeCell ref="C6:T6"/>
    <mergeCell ref="H9:M9"/>
    <mergeCell ref="N9:S9"/>
    <mergeCell ref="T9:Y9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39997558519241921"/>
  </sheetPr>
  <dimension ref="B1:AB41"/>
  <sheetViews>
    <sheetView zoomScale="80" zoomScaleNormal="80" workbookViewId="0">
      <selection activeCell="K17" sqref="K17"/>
    </sheetView>
    <sheetView workbookViewId="1"/>
  </sheetViews>
  <sheetFormatPr defaultColWidth="9.140625" defaultRowHeight="15" x14ac:dyDescent="0.25"/>
  <cols>
    <col min="1" max="1" width="15.5703125" style="92" customWidth="1"/>
    <col min="2" max="2" width="11" style="92" bestFit="1" customWidth="1"/>
    <col min="3" max="3" width="13.42578125" style="92" customWidth="1"/>
    <col min="4" max="4" width="15" style="92" customWidth="1"/>
    <col min="5" max="5" width="13.7109375" style="92" customWidth="1"/>
    <col min="6" max="6" width="13.140625" style="92" customWidth="1"/>
    <col min="7" max="7" width="9.85546875" style="92" customWidth="1"/>
    <col min="8" max="8" width="9.140625" style="92"/>
    <col min="9" max="9" width="13.42578125" style="92" customWidth="1"/>
    <col min="10" max="10" width="9.140625" style="92"/>
    <col min="11" max="11" width="10.85546875" style="92" bestFit="1" customWidth="1"/>
    <col min="12" max="12" width="4.140625" style="92" customWidth="1"/>
    <col min="13" max="13" width="8" style="92" customWidth="1"/>
    <col min="14" max="14" width="9.140625" style="92"/>
    <col min="15" max="15" width="14.42578125" style="92" customWidth="1"/>
    <col min="16" max="16" width="17" style="92" customWidth="1"/>
    <col min="17" max="17" width="16.85546875" style="92" customWidth="1"/>
    <col min="18" max="18" width="15.42578125" style="92" customWidth="1"/>
    <col min="19" max="19" width="14.42578125" style="92" customWidth="1"/>
    <col min="20" max="23" width="9.140625" style="92"/>
    <col min="24" max="24" width="14.140625" style="92" customWidth="1"/>
    <col min="25" max="25" width="12.28515625" style="92" customWidth="1"/>
    <col min="26" max="26" width="15" style="92" customWidth="1"/>
    <col min="27" max="27" width="14.5703125" style="92" customWidth="1"/>
    <col min="28" max="28" width="9.140625" style="92"/>
    <col min="29" max="29" width="17.140625" style="92" customWidth="1"/>
    <col min="30" max="16384" width="9.140625" style="92"/>
  </cols>
  <sheetData>
    <row r="1" spans="2:27" ht="35.25" customHeight="1" x14ac:dyDescent="0.4">
      <c r="B1" s="106" t="s">
        <v>23</v>
      </c>
      <c r="N1" s="106" t="s">
        <v>24</v>
      </c>
      <c r="W1" s="107" t="s">
        <v>25</v>
      </c>
    </row>
    <row r="2" spans="2:27" ht="15.75" customHeight="1" thickBot="1" x14ac:dyDescent="0.3">
      <c r="B2" s="490" t="s">
        <v>26</v>
      </c>
      <c r="C2" s="490"/>
      <c r="D2" s="490"/>
      <c r="E2" s="490"/>
      <c r="F2" s="490"/>
      <c r="N2" s="490" t="s">
        <v>27</v>
      </c>
      <c r="O2" s="490"/>
      <c r="P2" s="490"/>
      <c r="Q2" s="490"/>
      <c r="R2" s="490"/>
      <c r="W2" s="490" t="s">
        <v>28</v>
      </c>
      <c r="X2" s="490"/>
      <c r="Y2" s="490"/>
      <c r="Z2" s="490"/>
      <c r="AA2" s="490"/>
    </row>
    <row r="3" spans="2:27" ht="52.5" thickBot="1" x14ac:dyDescent="0.3">
      <c r="B3" s="93" t="s">
        <v>2</v>
      </c>
      <c r="C3" s="93" t="s">
        <v>29</v>
      </c>
      <c r="D3" s="93" t="s">
        <v>30</v>
      </c>
      <c r="E3" s="94" t="s">
        <v>31</v>
      </c>
      <c r="F3" s="94" t="s">
        <v>32</v>
      </c>
      <c r="N3" s="93" t="s">
        <v>2</v>
      </c>
      <c r="O3" s="93" t="s">
        <v>29</v>
      </c>
      <c r="P3" s="93" t="s">
        <v>1</v>
      </c>
      <c r="Q3" s="94" t="s">
        <v>31</v>
      </c>
      <c r="R3" s="94" t="s">
        <v>32</v>
      </c>
      <c r="W3" s="93" t="s">
        <v>2</v>
      </c>
      <c r="X3" s="93" t="s">
        <v>29</v>
      </c>
      <c r="Y3" s="93" t="s">
        <v>1</v>
      </c>
      <c r="Z3" s="94" t="s">
        <v>31</v>
      </c>
      <c r="AA3" s="94" t="s">
        <v>32</v>
      </c>
    </row>
    <row r="4" spans="2:27" x14ac:dyDescent="0.25">
      <c r="B4" s="108">
        <v>1000</v>
      </c>
      <c r="C4" s="95">
        <f>I23</f>
        <v>1374.8202660690347</v>
      </c>
      <c r="D4" s="95">
        <f>Cashflow!$AE$63*'Indicative Income Tables'!B4</f>
        <v>773.72603990308949</v>
      </c>
      <c r="E4" s="96">
        <f>D4+C4</f>
        <v>2148.5463059721242</v>
      </c>
      <c r="F4" s="102">
        <f>E4/B4</f>
        <v>2.1485463059721241</v>
      </c>
      <c r="N4" s="108">
        <v>1000</v>
      </c>
      <c r="O4" s="95">
        <f>R23</f>
        <v>1229.8202660690347</v>
      </c>
      <c r="P4" s="95">
        <f>Cashflow!$AE$63*'Indicative Income Tables'!N4</f>
        <v>773.72603990308949</v>
      </c>
      <c r="Q4" s="96">
        <f>P4+O4</f>
        <v>2003.5463059721242</v>
      </c>
      <c r="R4" s="102">
        <f>Q4/N4</f>
        <v>2.0035463059721241</v>
      </c>
      <c r="W4" s="108">
        <v>1000</v>
      </c>
      <c r="X4" s="95">
        <f>AA23</f>
        <v>1347.7414657431923</v>
      </c>
      <c r="Y4" s="95">
        <f>Cashflow!$AE$74*'Indicative Income Tables'!W4</f>
        <v>758.55494108146036</v>
      </c>
      <c r="Z4" s="96">
        <f>Y4+X4</f>
        <v>2106.2964068246529</v>
      </c>
      <c r="AA4" s="102">
        <f>Z4/W4</f>
        <v>2.106296406824653</v>
      </c>
    </row>
    <row r="5" spans="2:27" x14ac:dyDescent="0.25">
      <c r="B5" s="108">
        <v>2000</v>
      </c>
      <c r="C5" s="95">
        <f t="shared" ref="C5:C18" si="0">I24</f>
        <v>2948.3071988047363</v>
      </c>
      <c r="D5" s="95">
        <f>Cashflow!$AE$63*'Indicative Income Tables'!B5</f>
        <v>1547.452079806179</v>
      </c>
      <c r="E5" s="96">
        <f t="shared" ref="E5:E18" si="1">D5+C5</f>
        <v>4495.7592786109153</v>
      </c>
      <c r="F5" s="102">
        <f t="shared" ref="F5:F18" si="2">E5/B5</f>
        <v>2.2478796393054576</v>
      </c>
      <c r="N5" s="108">
        <v>2000</v>
      </c>
      <c r="O5" s="95">
        <f t="shared" ref="O5:O18" si="3">R24</f>
        <v>2459.6405321380694</v>
      </c>
      <c r="P5" s="95">
        <f>Cashflow!$AE$63*'Indicative Income Tables'!N5</f>
        <v>1547.452079806179</v>
      </c>
      <c r="Q5" s="96">
        <f t="shared" ref="Q5:Q18" si="4">P5+O5</f>
        <v>4007.0926119442483</v>
      </c>
      <c r="R5" s="102">
        <f t="shared" ref="R5:R18" si="5">Q5/N5</f>
        <v>2.0035463059721241</v>
      </c>
      <c r="W5" s="108">
        <v>2000</v>
      </c>
      <c r="X5" s="95">
        <f t="shared" ref="X5:X18" si="6">AA24</f>
        <v>2695.4829314863846</v>
      </c>
      <c r="Y5" s="95">
        <f>Cashflow!$AE$74*'Indicative Income Tables'!W5</f>
        <v>1517.1098821629207</v>
      </c>
      <c r="Z5" s="96">
        <f t="shared" ref="Z5:Z18" si="7">Y5+X5</f>
        <v>4212.5928136493058</v>
      </c>
      <c r="AA5" s="102">
        <f t="shared" ref="AA5:AA18" si="8">Z5/W5</f>
        <v>2.106296406824653</v>
      </c>
    </row>
    <row r="6" spans="2:27" x14ac:dyDescent="0.25">
      <c r="B6" s="108">
        <v>2500</v>
      </c>
      <c r="C6" s="95">
        <f t="shared" si="0"/>
        <v>6069.3839985059194</v>
      </c>
      <c r="D6" s="95">
        <f>Cashflow!$AE$63*'Indicative Income Tables'!B6</f>
        <v>1934.3150997577238</v>
      </c>
      <c r="E6" s="96">
        <f t="shared" si="1"/>
        <v>8003.6990982636435</v>
      </c>
      <c r="F6" s="102">
        <f t="shared" si="2"/>
        <v>3.2014796393054574</v>
      </c>
      <c r="N6" s="108">
        <v>2500</v>
      </c>
      <c r="O6" s="95">
        <f t="shared" si="3"/>
        <v>4626.4173318392523</v>
      </c>
      <c r="P6" s="95">
        <f>Cashflow!$AE$63*'Indicative Income Tables'!N6</f>
        <v>1934.3150997577238</v>
      </c>
      <c r="Q6" s="96">
        <f t="shared" si="4"/>
        <v>6560.7324315969763</v>
      </c>
      <c r="R6" s="102">
        <f t="shared" si="5"/>
        <v>2.6242929726387905</v>
      </c>
      <c r="W6" s="108">
        <v>2500</v>
      </c>
      <c r="X6" s="95">
        <f t="shared" si="6"/>
        <v>4533.2536643579806</v>
      </c>
      <c r="Y6" s="95">
        <f>Cashflow!$AE$74*'Indicative Income Tables'!W6</f>
        <v>1896.387352703651</v>
      </c>
      <c r="Z6" s="96">
        <f t="shared" si="7"/>
        <v>6429.6410170616318</v>
      </c>
      <c r="AA6" s="102">
        <f t="shared" si="8"/>
        <v>2.5718564068246526</v>
      </c>
    </row>
    <row r="7" spans="2:27" x14ac:dyDescent="0.25">
      <c r="B7" s="108">
        <v>2830</v>
      </c>
      <c r="C7" s="95">
        <f t="shared" si="0"/>
        <v>6647.5846863087008</v>
      </c>
      <c r="D7" s="95">
        <f>Cashflow!$AE$63*'Indicative Income Tables'!B7</f>
        <v>2189.6446929257431</v>
      </c>
      <c r="E7" s="96">
        <f t="shared" si="1"/>
        <v>8837.2293792344444</v>
      </c>
      <c r="F7" s="102">
        <f t="shared" si="2"/>
        <v>3.1226958937224185</v>
      </c>
      <c r="N7" s="108">
        <v>2830</v>
      </c>
      <c r="O7" s="95">
        <f t="shared" si="3"/>
        <v>5093.0580196420342</v>
      </c>
      <c r="P7" s="95">
        <f>Cashflow!$AE$63*'Indicative Income Tables'!N7</f>
        <v>2189.6446929257431</v>
      </c>
      <c r="Q7" s="96">
        <f t="shared" si="4"/>
        <v>7282.7027125677778</v>
      </c>
      <c r="R7" s="102">
        <f t="shared" si="5"/>
        <v>2.5733931846529252</v>
      </c>
      <c r="W7" s="108">
        <v>2830</v>
      </c>
      <c r="X7" s="95">
        <f t="shared" si="6"/>
        <v>5023.6083480532343</v>
      </c>
      <c r="Y7" s="95">
        <f>Cashflow!$AE$74*'Indicative Income Tables'!W7</f>
        <v>2146.7104832605328</v>
      </c>
      <c r="Z7" s="96">
        <f t="shared" si="7"/>
        <v>7170.3188313137671</v>
      </c>
      <c r="AA7" s="102">
        <f t="shared" si="8"/>
        <v>2.5336815658352534</v>
      </c>
    </row>
    <row r="8" spans="2:27" x14ac:dyDescent="0.25">
      <c r="B8" s="108">
        <v>3150</v>
      </c>
      <c r="C8" s="95">
        <f t="shared" si="0"/>
        <v>7210.4005047841256</v>
      </c>
      <c r="D8" s="95">
        <f>Cashflow!$AE$63*'Indicative Income Tables'!B8</f>
        <v>2437.237025694732</v>
      </c>
      <c r="E8" s="96">
        <f t="shared" si="1"/>
        <v>9647.637530478858</v>
      </c>
      <c r="F8" s="102">
        <f t="shared" si="2"/>
        <v>3.0627420731678914</v>
      </c>
      <c r="N8" s="108">
        <v>3150</v>
      </c>
      <c r="O8" s="95">
        <f t="shared" si="3"/>
        <v>5547.2671714507924</v>
      </c>
      <c r="P8" s="95">
        <f>Cashflow!$AE$63*'Indicative Income Tables'!N8</f>
        <v>2437.237025694732</v>
      </c>
      <c r="Q8" s="96">
        <f t="shared" si="4"/>
        <v>7984.5041971455248</v>
      </c>
      <c r="R8" s="102">
        <f t="shared" si="5"/>
        <v>2.5347632371890554</v>
      </c>
      <c r="W8" s="108">
        <v>3150</v>
      </c>
      <c r="X8" s="95">
        <f t="shared" si="6"/>
        <v>5500.3856170910558</v>
      </c>
      <c r="Y8" s="95">
        <f>Cashflow!$AE$74*'Indicative Income Tables'!W8</f>
        <v>2389.4480644066002</v>
      </c>
      <c r="Z8" s="96">
        <f t="shared" si="7"/>
        <v>7889.8336814976556</v>
      </c>
      <c r="AA8" s="102">
        <f t="shared" si="8"/>
        <v>2.5047091052373509</v>
      </c>
    </row>
    <row r="9" spans="2:27" x14ac:dyDescent="0.25">
      <c r="B9" s="108">
        <v>4000</v>
      </c>
      <c r="C9" s="95">
        <f t="shared" si="0"/>
        <v>8503.9477309428039</v>
      </c>
      <c r="D9" s="95">
        <f>Cashflow!$AE$63*'Indicative Income Tables'!B9</f>
        <v>3094.9041596123579</v>
      </c>
      <c r="E9" s="96">
        <f t="shared" si="1"/>
        <v>11598.851890555161</v>
      </c>
      <c r="F9" s="102">
        <f t="shared" si="2"/>
        <v>2.89971297263879</v>
      </c>
      <c r="N9" s="108">
        <v>4000</v>
      </c>
      <c r="O9" s="95">
        <f t="shared" si="3"/>
        <v>6592.6143976094718</v>
      </c>
      <c r="P9" s="95">
        <f>Cashflow!$AE$63*'Indicative Income Tables'!N9</f>
        <v>3094.9041596123579</v>
      </c>
      <c r="Q9" s="96">
        <f t="shared" si="4"/>
        <v>9687.5185572218288</v>
      </c>
      <c r="R9" s="102">
        <f t="shared" si="5"/>
        <v>2.4218796393054571</v>
      </c>
      <c r="W9" s="108">
        <v>4000</v>
      </c>
      <c r="X9" s="95">
        <f t="shared" si="6"/>
        <v>6645.9658629727692</v>
      </c>
      <c r="Y9" s="95">
        <f>Cashflow!$AE$74*'Indicative Income Tables'!W9</f>
        <v>3034.2197643258414</v>
      </c>
      <c r="Z9" s="96">
        <f t="shared" si="7"/>
        <v>9680.1856272986115</v>
      </c>
      <c r="AA9" s="102">
        <f t="shared" si="8"/>
        <v>2.4200464068246528</v>
      </c>
    </row>
    <row r="10" spans="2:27" x14ac:dyDescent="0.25">
      <c r="B10" s="108">
        <v>5000</v>
      </c>
      <c r="C10" s="95">
        <f t="shared" si="0"/>
        <v>10025.767997011839</v>
      </c>
      <c r="D10" s="95">
        <f>Cashflow!$AE$63*'Indicative Income Tables'!B10</f>
        <v>3868.6301995154477</v>
      </c>
      <c r="E10" s="96">
        <f t="shared" si="1"/>
        <v>13894.398196527287</v>
      </c>
      <c r="F10" s="102">
        <f t="shared" si="2"/>
        <v>2.7788796393054573</v>
      </c>
      <c r="N10" s="108">
        <v>5000</v>
      </c>
      <c r="O10" s="95">
        <f t="shared" si="3"/>
        <v>7822.4346636785049</v>
      </c>
      <c r="P10" s="95">
        <f>Cashflow!$AE$63*'Indicative Income Tables'!N10</f>
        <v>3868.6301995154477</v>
      </c>
      <c r="Q10" s="96">
        <f t="shared" si="4"/>
        <v>11691.064863193953</v>
      </c>
      <c r="R10" s="102">
        <f t="shared" si="5"/>
        <v>2.3382129726387908</v>
      </c>
      <c r="W10" s="108">
        <v>5000</v>
      </c>
      <c r="X10" s="95">
        <f t="shared" si="6"/>
        <v>7993.707328715961</v>
      </c>
      <c r="Y10" s="95">
        <f>Cashflow!$AE$74*'Indicative Income Tables'!W10</f>
        <v>3792.774705407302</v>
      </c>
      <c r="Z10" s="96">
        <f t="shared" si="7"/>
        <v>11786.482034123263</v>
      </c>
      <c r="AA10" s="102">
        <f t="shared" si="8"/>
        <v>2.3572964068246525</v>
      </c>
    </row>
    <row r="11" spans="2:27" x14ac:dyDescent="0.25">
      <c r="B11" s="108">
        <v>6000</v>
      </c>
      <c r="C11" s="95">
        <f t="shared" si="0"/>
        <v>11547.588263080874</v>
      </c>
      <c r="D11" s="95">
        <f>Cashflow!$AE$63*'Indicative Income Tables'!B11</f>
        <v>4642.3562394185374</v>
      </c>
      <c r="E11" s="96">
        <f t="shared" si="1"/>
        <v>16189.944502499411</v>
      </c>
      <c r="F11" s="102">
        <f t="shared" si="2"/>
        <v>2.6983240837499021</v>
      </c>
      <c r="N11" s="108">
        <v>6000</v>
      </c>
      <c r="O11" s="95">
        <f t="shared" si="3"/>
        <v>9052.2549297475398</v>
      </c>
      <c r="P11" s="95">
        <f>Cashflow!$AE$63*'Indicative Income Tables'!N11</f>
        <v>4642.3562394185374</v>
      </c>
      <c r="Q11" s="96">
        <f t="shared" si="4"/>
        <v>13694.611169166077</v>
      </c>
      <c r="R11" s="102">
        <f t="shared" si="5"/>
        <v>2.2824351948610127</v>
      </c>
      <c r="W11" s="108">
        <v>6000</v>
      </c>
      <c r="X11" s="95">
        <f t="shared" si="6"/>
        <v>9341.4487944591529</v>
      </c>
      <c r="Y11" s="95">
        <f>Cashflow!$AE$74*'Indicative Income Tables'!W11</f>
        <v>4551.3296464887626</v>
      </c>
      <c r="Z11" s="96">
        <f t="shared" si="7"/>
        <v>13892.778440947915</v>
      </c>
      <c r="AA11" s="102">
        <f t="shared" si="8"/>
        <v>2.3154630734913191</v>
      </c>
    </row>
    <row r="12" spans="2:27" x14ac:dyDescent="0.25">
      <c r="B12" s="108">
        <v>7000</v>
      </c>
      <c r="C12" s="95">
        <f t="shared" si="0"/>
        <v>13069.408529149909</v>
      </c>
      <c r="D12" s="95">
        <f>Cashflow!$AE$63*'Indicative Income Tables'!B12</f>
        <v>5416.0822793216266</v>
      </c>
      <c r="E12" s="96">
        <f t="shared" si="1"/>
        <v>18485.490808471535</v>
      </c>
      <c r="F12" s="102">
        <f t="shared" si="2"/>
        <v>2.6407844012102193</v>
      </c>
      <c r="N12" s="108">
        <v>7000</v>
      </c>
      <c r="O12" s="95">
        <f t="shared" si="3"/>
        <v>10282.075195816575</v>
      </c>
      <c r="P12" s="95">
        <f>Cashflow!$AE$63*'Indicative Income Tables'!N12</f>
        <v>5416.0822793216266</v>
      </c>
      <c r="Q12" s="96">
        <f t="shared" si="4"/>
        <v>15698.157475138201</v>
      </c>
      <c r="R12" s="102">
        <f t="shared" si="5"/>
        <v>2.2425939250197429</v>
      </c>
      <c r="W12" s="108">
        <v>7000</v>
      </c>
      <c r="X12" s="95">
        <f t="shared" si="6"/>
        <v>10689.190260202346</v>
      </c>
      <c r="Y12" s="95">
        <f>Cashflow!$AE$74*'Indicative Income Tables'!W12</f>
        <v>5309.8845875702227</v>
      </c>
      <c r="Z12" s="96">
        <f t="shared" si="7"/>
        <v>15999.074847772568</v>
      </c>
      <c r="AA12" s="102">
        <f t="shared" si="8"/>
        <v>2.2855821211103668</v>
      </c>
    </row>
    <row r="13" spans="2:27" x14ac:dyDescent="0.25">
      <c r="B13" s="108">
        <v>8000</v>
      </c>
      <c r="C13" s="95">
        <f t="shared" si="0"/>
        <v>14591.228795218944</v>
      </c>
      <c r="D13" s="95">
        <f>Cashflow!$AE$63*'Indicative Income Tables'!B13</f>
        <v>6189.8083192247159</v>
      </c>
      <c r="E13" s="96">
        <f t="shared" si="1"/>
        <v>20781.037114443658</v>
      </c>
      <c r="F13" s="102">
        <f t="shared" si="2"/>
        <v>2.597629639305457</v>
      </c>
      <c r="N13" s="108">
        <v>8000</v>
      </c>
      <c r="O13" s="95">
        <f t="shared" si="3"/>
        <v>11511.895461885611</v>
      </c>
      <c r="P13" s="95">
        <f>Cashflow!$AE$63*'Indicative Income Tables'!N13</f>
        <v>6189.8083192247159</v>
      </c>
      <c r="Q13" s="96">
        <f t="shared" si="4"/>
        <v>17701.703781110329</v>
      </c>
      <c r="R13" s="102">
        <f t="shared" si="5"/>
        <v>2.2127129726387911</v>
      </c>
      <c r="W13" s="108">
        <v>8000</v>
      </c>
      <c r="X13" s="95">
        <f t="shared" si="6"/>
        <v>12036.931725945538</v>
      </c>
      <c r="Y13" s="95">
        <f>Cashflow!$AE$74*'Indicative Income Tables'!W13</f>
        <v>6068.4395286516828</v>
      </c>
      <c r="Z13" s="96">
        <f t="shared" si="7"/>
        <v>18105.371254597223</v>
      </c>
      <c r="AA13" s="102">
        <f t="shared" si="8"/>
        <v>2.2631714068246529</v>
      </c>
    </row>
    <row r="14" spans="2:27" x14ac:dyDescent="0.25">
      <c r="B14" s="108">
        <v>9000</v>
      </c>
      <c r="C14" s="95">
        <f t="shared" si="0"/>
        <v>16113.049061287978</v>
      </c>
      <c r="D14" s="95">
        <f>Cashflow!$AE$63*'Indicative Income Tables'!B14</f>
        <v>6963.5343591278061</v>
      </c>
      <c r="E14" s="96">
        <f t="shared" si="1"/>
        <v>23076.583420415784</v>
      </c>
      <c r="F14" s="102">
        <f t="shared" si="2"/>
        <v>2.5640648244906425</v>
      </c>
      <c r="N14" s="108">
        <v>9000</v>
      </c>
      <c r="O14" s="95">
        <f t="shared" si="3"/>
        <v>12741.715727954645</v>
      </c>
      <c r="P14" s="95">
        <f>Cashflow!$AE$63*'Indicative Income Tables'!N14</f>
        <v>6963.5343591278061</v>
      </c>
      <c r="Q14" s="96">
        <f t="shared" si="4"/>
        <v>19705.250087082452</v>
      </c>
      <c r="R14" s="102">
        <f t="shared" si="5"/>
        <v>2.18947223189805</v>
      </c>
      <c r="W14" s="108">
        <v>9000</v>
      </c>
      <c r="X14" s="95">
        <f t="shared" si="6"/>
        <v>13384.673191688729</v>
      </c>
      <c r="Y14" s="95">
        <f>Cashflow!$AE$74*'Indicative Income Tables'!W14</f>
        <v>6826.994469733143</v>
      </c>
      <c r="Z14" s="96">
        <f t="shared" si="7"/>
        <v>20211.667661421874</v>
      </c>
      <c r="AA14" s="102">
        <f t="shared" si="8"/>
        <v>2.2457408512690971</v>
      </c>
    </row>
    <row r="15" spans="2:27" x14ac:dyDescent="0.25">
      <c r="B15" s="108">
        <v>10000</v>
      </c>
      <c r="C15" s="95">
        <f t="shared" si="0"/>
        <v>17634.869327357013</v>
      </c>
      <c r="D15" s="95">
        <f>Cashflow!$AE$63*'Indicative Income Tables'!B15</f>
        <v>7737.2603990308953</v>
      </c>
      <c r="E15" s="96">
        <f t="shared" si="1"/>
        <v>25372.12972638791</v>
      </c>
      <c r="F15" s="102">
        <f t="shared" si="2"/>
        <v>2.5372129726387911</v>
      </c>
      <c r="N15" s="108">
        <v>10000</v>
      </c>
      <c r="O15" s="95">
        <f t="shared" si="3"/>
        <v>13971.535994023678</v>
      </c>
      <c r="P15" s="95">
        <f>Cashflow!$AE$63*'Indicative Income Tables'!N15</f>
        <v>7737.2603990308953</v>
      </c>
      <c r="Q15" s="96">
        <f t="shared" si="4"/>
        <v>21708.796393054574</v>
      </c>
      <c r="R15" s="102">
        <f t="shared" si="5"/>
        <v>2.1708796393054572</v>
      </c>
      <c r="W15" s="108">
        <v>10000</v>
      </c>
      <c r="X15" s="95">
        <f t="shared" si="6"/>
        <v>14732.414657431922</v>
      </c>
      <c r="Y15" s="95">
        <f>Cashflow!$AE$74*'Indicative Income Tables'!W15</f>
        <v>7585.549410814604</v>
      </c>
      <c r="Z15" s="96">
        <f t="shared" si="7"/>
        <v>22317.964068246525</v>
      </c>
      <c r="AA15" s="102">
        <f t="shared" si="8"/>
        <v>2.2317964068246523</v>
      </c>
    </row>
    <row r="16" spans="2:27" x14ac:dyDescent="0.25">
      <c r="B16" s="108">
        <v>11000</v>
      </c>
      <c r="C16" s="95">
        <f t="shared" si="0"/>
        <v>19156.689593426046</v>
      </c>
      <c r="D16" s="95">
        <f>Cashflow!$AE$63*'Indicative Income Tables'!B16</f>
        <v>8510.9864389339855</v>
      </c>
      <c r="E16" s="96">
        <f t="shared" si="1"/>
        <v>27667.676032360032</v>
      </c>
      <c r="F16" s="102">
        <f t="shared" si="2"/>
        <v>2.5152432756690937</v>
      </c>
      <c r="N16" s="108">
        <v>11000</v>
      </c>
      <c r="O16" s="95">
        <f t="shared" si="3"/>
        <v>15201.356260092713</v>
      </c>
      <c r="P16" s="95">
        <f>Cashflow!$AE$63*'Indicative Income Tables'!N16</f>
        <v>8510.9864389339855</v>
      </c>
      <c r="Q16" s="96">
        <f t="shared" si="4"/>
        <v>23712.342699026696</v>
      </c>
      <c r="R16" s="102">
        <f t="shared" si="5"/>
        <v>2.155667518093336</v>
      </c>
      <c r="W16" s="108">
        <v>11000</v>
      </c>
      <c r="X16" s="95">
        <f t="shared" si="6"/>
        <v>16080.156123175115</v>
      </c>
      <c r="Y16" s="95">
        <f>Cashflow!$AE$74*'Indicative Income Tables'!W16</f>
        <v>8344.1043518960632</v>
      </c>
      <c r="Z16" s="96">
        <f t="shared" si="7"/>
        <v>24424.260475071176</v>
      </c>
      <c r="AA16" s="102">
        <f t="shared" si="8"/>
        <v>2.2203873159155614</v>
      </c>
    </row>
    <row r="17" spans="2:28" x14ac:dyDescent="0.25">
      <c r="B17" s="108">
        <v>13000</v>
      </c>
      <c r="C17" s="95">
        <f t="shared" si="0"/>
        <v>22200.330125564113</v>
      </c>
      <c r="D17" s="95">
        <f>Cashflow!$AE$63*'Indicative Income Tables'!B17</f>
        <v>10058.438518740164</v>
      </c>
      <c r="E17" s="96">
        <f t="shared" si="1"/>
        <v>32258.768644304277</v>
      </c>
      <c r="F17" s="102">
        <f t="shared" si="2"/>
        <v>2.4814437418695596</v>
      </c>
      <c r="N17" s="108">
        <v>13000</v>
      </c>
      <c r="O17" s="95">
        <f t="shared" si="3"/>
        <v>17660.996792230784</v>
      </c>
      <c r="P17" s="95">
        <f>Cashflow!$AE$63*'Indicative Income Tables'!N17</f>
        <v>10058.438518740164</v>
      </c>
      <c r="Q17" s="96">
        <f t="shared" si="4"/>
        <v>27719.435310970948</v>
      </c>
      <c r="R17" s="102">
        <f t="shared" si="5"/>
        <v>2.1322642546900727</v>
      </c>
      <c r="W17" s="108">
        <v>13000</v>
      </c>
      <c r="X17" s="95">
        <f t="shared" si="6"/>
        <v>18775.6390546615</v>
      </c>
      <c r="Y17" s="95">
        <f>Cashflow!$AE$74*'Indicative Income Tables'!W17</f>
        <v>9861.2142340589853</v>
      </c>
      <c r="Z17" s="96">
        <f t="shared" si="7"/>
        <v>28636.853288720486</v>
      </c>
      <c r="AA17" s="102">
        <f t="shared" si="8"/>
        <v>2.2028348683631145</v>
      </c>
    </row>
    <row r="18" spans="2:28" ht="15.75" thickBot="1" x14ac:dyDescent="0.3">
      <c r="B18" s="108">
        <v>15000</v>
      </c>
      <c r="C18" s="95">
        <f t="shared" si="0"/>
        <v>25243.970657702183</v>
      </c>
      <c r="D18" s="95">
        <f>Cashflow!$AE$63*'Indicative Income Tables'!B18</f>
        <v>11605.890598546343</v>
      </c>
      <c r="E18" s="98">
        <f t="shared" si="1"/>
        <v>36849.861256248521</v>
      </c>
      <c r="F18" s="103">
        <f t="shared" si="2"/>
        <v>2.4566574170832349</v>
      </c>
      <c r="N18" s="108">
        <v>15000</v>
      </c>
      <c r="O18" s="95">
        <f t="shared" si="3"/>
        <v>20120.63732436885</v>
      </c>
      <c r="P18" s="95">
        <f>Cashflow!$AE$63*'Indicative Income Tables'!N18</f>
        <v>11605.890598546343</v>
      </c>
      <c r="Q18" s="98">
        <f t="shared" si="4"/>
        <v>31726.527922915193</v>
      </c>
      <c r="R18" s="103">
        <f t="shared" si="5"/>
        <v>2.1151018615276795</v>
      </c>
      <c r="W18" s="108">
        <v>15000</v>
      </c>
      <c r="X18" s="95">
        <f t="shared" si="6"/>
        <v>21471.121986147882</v>
      </c>
      <c r="Y18" s="95">
        <f>Cashflow!$AE$74*'Indicative Income Tables'!W18</f>
        <v>11378.324116221906</v>
      </c>
      <c r="Z18" s="98">
        <f t="shared" si="7"/>
        <v>32849.446102369788</v>
      </c>
      <c r="AA18" s="103">
        <f t="shared" si="8"/>
        <v>2.1899630734913194</v>
      </c>
    </row>
    <row r="20" spans="2:28" ht="15" customHeight="1" x14ac:dyDescent="0.25">
      <c r="J20" s="101"/>
      <c r="K20" s="101"/>
      <c r="L20" s="101"/>
      <c r="W20" s="489" t="s">
        <v>33</v>
      </c>
      <c r="X20" s="489"/>
      <c r="Y20" s="489"/>
      <c r="Z20" s="489"/>
      <c r="AA20" s="489"/>
      <c r="AB20" s="489"/>
    </row>
    <row r="21" spans="2:28" ht="15.75" thickBot="1" x14ac:dyDescent="0.3">
      <c r="B21" s="100" t="s">
        <v>34</v>
      </c>
      <c r="C21" s="101"/>
      <c r="D21" s="101"/>
      <c r="E21" s="101"/>
      <c r="F21" s="101"/>
      <c r="G21" s="101"/>
      <c r="H21" s="101"/>
      <c r="I21" s="101"/>
      <c r="N21" s="100" t="s">
        <v>35</v>
      </c>
      <c r="W21" s="489"/>
      <c r="X21" s="489"/>
      <c r="Y21" s="489"/>
      <c r="Z21" s="489"/>
      <c r="AA21" s="489"/>
      <c r="AB21" s="489"/>
    </row>
    <row r="22" spans="2:28" ht="52.5" thickBot="1" x14ac:dyDescent="0.3">
      <c r="B22" s="93" t="s">
        <v>2</v>
      </c>
      <c r="C22" s="93" t="s">
        <v>36</v>
      </c>
      <c r="D22" s="93" t="s">
        <v>37</v>
      </c>
      <c r="E22" s="93" t="s">
        <v>38</v>
      </c>
      <c r="F22" s="93" t="s">
        <v>39</v>
      </c>
      <c r="G22" s="93" t="s">
        <v>40</v>
      </c>
      <c r="H22" s="93" t="s">
        <v>11</v>
      </c>
      <c r="I22" s="94" t="s">
        <v>29</v>
      </c>
      <c r="J22" s="94" t="s">
        <v>32</v>
      </c>
      <c r="K22" s="104"/>
      <c r="L22" s="104"/>
      <c r="N22" s="93" t="s">
        <v>2</v>
      </c>
      <c r="O22" s="93" t="s">
        <v>41</v>
      </c>
      <c r="P22" s="93" t="s">
        <v>37</v>
      </c>
      <c r="Q22" s="93" t="s">
        <v>39</v>
      </c>
      <c r="R22" s="94" t="s">
        <v>29</v>
      </c>
      <c r="S22" s="94" t="s">
        <v>32</v>
      </c>
      <c r="W22" s="93" t="s">
        <v>2</v>
      </c>
      <c r="X22" s="93" t="s">
        <v>41</v>
      </c>
      <c r="Y22" s="93" t="s">
        <v>39</v>
      </c>
      <c r="Z22" s="93" t="s">
        <v>37</v>
      </c>
      <c r="AA22" s="94" t="s">
        <v>29</v>
      </c>
      <c r="AB22" s="94" t="s">
        <v>32</v>
      </c>
    </row>
    <row r="23" spans="2:28" x14ac:dyDescent="0.25">
      <c r="B23" s="108">
        <v>1000</v>
      </c>
      <c r="C23" s="95">
        <f>B23*Calculator!$V$77</f>
        <v>900</v>
      </c>
      <c r="D23" s="95">
        <f>IF(B23&lt;Calculator!$G$80,0,IF(B23&lt;Calculator!$G$81,Calculator!$K$80,IF(B23&lt;Calculator!$G$82,Calculator!$K$81,Calculator!$K$82)))</f>
        <v>0</v>
      </c>
      <c r="E23" s="95">
        <f>IF(B23&lt;Calculator!$N$80,Calculator!$Q$79,IF(B23&lt;Calculator!$N$81,Calculator!$Q$80,IF(B23&lt;Calculator!$N$82,Calculator!$Q$81,B23*Calculator!$P$82)))</f>
        <v>50</v>
      </c>
      <c r="F23" s="95">
        <f>B23*Calculator!$Z$77</f>
        <v>99.820266069034631</v>
      </c>
      <c r="G23" s="95">
        <f>Calculator!$V$78</f>
        <v>125</v>
      </c>
      <c r="H23" s="95">
        <f>Calculator!$V$79</f>
        <v>200</v>
      </c>
      <c r="I23" s="96">
        <f>C23+D23+E23+F23+G23+H23</f>
        <v>1374.8202660690347</v>
      </c>
      <c r="J23" s="97">
        <f>I23/B23</f>
        <v>1.3748202660690347</v>
      </c>
      <c r="K23" s="105"/>
      <c r="L23" s="105"/>
      <c r="N23" s="108">
        <v>1000</v>
      </c>
      <c r="O23" s="95">
        <f>N23*Calculator!$S$88</f>
        <v>1130</v>
      </c>
      <c r="P23" s="95">
        <f>IF(N23&lt;Calculator!$G$89,0,IF(N23&lt;Calculator!$G$90,Calculator!$K$89,IF(N23&lt;Calculator!$G$91,Calculator!$K$90,Calculator!$K$91)))</f>
        <v>0</v>
      </c>
      <c r="Q23" s="95">
        <f>N23*Calculator!$Z$86</f>
        <v>99.820266069034631</v>
      </c>
      <c r="R23" s="96">
        <f>O23+P23+Q23</f>
        <v>1229.8202660690347</v>
      </c>
      <c r="S23" s="97">
        <f>R23/N23</f>
        <v>1.2298202660690347</v>
      </c>
      <c r="W23" s="108">
        <v>1000</v>
      </c>
      <c r="X23" s="95">
        <f>W23*Calculator!$S$98</f>
        <v>1250</v>
      </c>
      <c r="Y23" s="95">
        <f>W23*Calculator!$Z$96</f>
        <v>97.741465743192208</v>
      </c>
      <c r="Z23" s="95">
        <f>IF(W23&lt;Calculator!$G$99,0,IF(W23&lt;Calculator!$G$100,Calculator!$K$99,IF(W23&lt;Calculator!$G$101,Calculator!$K$100,Calculator!$K$101)))</f>
        <v>0</v>
      </c>
      <c r="AA23" s="96">
        <f>X23+Y23+Z23</f>
        <v>1347.7414657431923</v>
      </c>
      <c r="AB23" s="102">
        <f>AA23/W23</f>
        <v>1.3477414657431923</v>
      </c>
    </row>
    <row r="24" spans="2:28" x14ac:dyDescent="0.25">
      <c r="B24" s="108">
        <v>2000</v>
      </c>
      <c r="C24" s="95">
        <f>B24*Calculator!$V$77</f>
        <v>1800</v>
      </c>
      <c r="D24" s="95">
        <f>IF(B24&lt;Calculator!$G$80,0,IF(B24&lt;Calculator!$G$81,Calculator!$K$80,IF(B24&lt;Calculator!$G$82,Calculator!$K$81,Calculator!$K$82)))</f>
        <v>0</v>
      </c>
      <c r="E24" s="95">
        <f>IF(B24&lt;Calculator!$N$80,Calculator!$Q$79,IF(B24&lt;Calculator!$N$81,Calculator!$Q$80,IF(B24&lt;Calculator!$N$82,Calculator!$Q$81,B24*Calculator!$P$82)))</f>
        <v>623.66666666666697</v>
      </c>
      <c r="F24" s="95">
        <f>B24*Calculator!$Z$77</f>
        <v>199.64053213806926</v>
      </c>
      <c r="G24" s="95">
        <f>Calculator!$V$78</f>
        <v>125</v>
      </c>
      <c r="H24" s="95">
        <f>Calculator!$V$79</f>
        <v>200</v>
      </c>
      <c r="I24" s="96">
        <f t="shared" ref="I24:I37" si="9">C24+D24+E24+F24+G24+H24</f>
        <v>2948.3071988047363</v>
      </c>
      <c r="J24" s="97">
        <f t="shared" ref="J24:J37" si="10">I24/B24</f>
        <v>1.4741535994023682</v>
      </c>
      <c r="K24" s="105"/>
      <c r="L24" s="105"/>
      <c r="N24" s="108">
        <v>2000</v>
      </c>
      <c r="O24" s="95">
        <f>N24*Calculator!$S$88</f>
        <v>2260</v>
      </c>
      <c r="P24" s="95">
        <f>IF(N24&lt;Calculator!$G$89,0,IF(N24&lt;Calculator!$G$90,Calculator!$K$89,IF(N24&lt;Calculator!$G$91,Calculator!$K$90,Calculator!$K$91)))</f>
        <v>0</v>
      </c>
      <c r="Q24" s="95">
        <f>N24*Calculator!$Z$86</f>
        <v>199.64053213806926</v>
      </c>
      <c r="R24" s="96">
        <f t="shared" ref="R24:R37" si="11">O24+P24+Q24</f>
        <v>2459.6405321380694</v>
      </c>
      <c r="S24" s="97">
        <f t="shared" ref="S24:S37" si="12">R24/N24</f>
        <v>1.2298202660690347</v>
      </c>
      <c r="W24" s="108">
        <v>2000</v>
      </c>
      <c r="X24" s="95">
        <f>W24*Calculator!$S$98</f>
        <v>2500</v>
      </c>
      <c r="Y24" s="95">
        <f>W24*Calculator!$Z$96</f>
        <v>195.48293148638442</v>
      </c>
      <c r="Z24" s="95">
        <f>IF(W24&lt;Calculator!$G$99,0,IF(W24&lt;Calculator!$G$100,Calculator!$K$99,IF(W24&lt;Calculator!$G$101,Calculator!$K$100,Calculator!$K$101)))</f>
        <v>0</v>
      </c>
      <c r="AA24" s="96">
        <f t="shared" ref="AA24:AA37" si="13">X24+Y24+Z24</f>
        <v>2695.4829314863846</v>
      </c>
      <c r="AB24" s="102">
        <f t="shared" ref="AB24:AB37" si="14">AA24/W24</f>
        <v>1.3477414657431923</v>
      </c>
    </row>
    <row r="25" spans="2:28" x14ac:dyDescent="0.25">
      <c r="B25" s="108">
        <v>2500</v>
      </c>
      <c r="C25" s="95">
        <f>B25*Calculator!$V$77</f>
        <v>2250</v>
      </c>
      <c r="D25" s="95">
        <f>IF(B25&lt;Calculator!$G$80,0,IF(B25&lt;Calculator!$G$81,Calculator!$K$80,IF(B25&lt;Calculator!$G$82,Calculator!$K$81,Calculator!$K$82)))</f>
        <v>1939.8333333333333</v>
      </c>
      <c r="E25" s="95">
        <f>IF(B25&lt;Calculator!$N$80,Calculator!$Q$79,IF(B25&lt;Calculator!$N$81,Calculator!$Q$80,IF(B25&lt;Calculator!$N$82,Calculator!$Q$81,B25*Calculator!$P$82)))</f>
        <v>1305</v>
      </c>
      <c r="F25" s="95">
        <f>B25*Calculator!$Z$77</f>
        <v>249.55066517258658</v>
      </c>
      <c r="G25" s="95">
        <f>Calculator!$V$78</f>
        <v>125</v>
      </c>
      <c r="H25" s="95">
        <f>Calculator!$V$79</f>
        <v>200</v>
      </c>
      <c r="I25" s="96">
        <f t="shared" si="9"/>
        <v>6069.3839985059194</v>
      </c>
      <c r="J25" s="97">
        <f t="shared" si="10"/>
        <v>2.4277535994023678</v>
      </c>
      <c r="K25" s="105"/>
      <c r="L25" s="105"/>
      <c r="N25" s="108">
        <v>2500</v>
      </c>
      <c r="O25" s="95">
        <f>N25*Calculator!$S$88</f>
        <v>2824.9999999999995</v>
      </c>
      <c r="P25" s="95">
        <f>IF(N25&lt;Calculator!$G$89,0,IF(N25&lt;Calculator!$G$90,Calculator!$K$89,IF(N25&lt;Calculator!$G$91,Calculator!$K$90,Calculator!$K$91)))</f>
        <v>1551.8666666666666</v>
      </c>
      <c r="Q25" s="95">
        <f>N25*Calculator!$Z$86</f>
        <v>249.55066517258658</v>
      </c>
      <c r="R25" s="96">
        <f t="shared" si="11"/>
        <v>4626.4173318392523</v>
      </c>
      <c r="S25" s="97">
        <f t="shared" si="12"/>
        <v>1.8505669327357008</v>
      </c>
      <c r="W25" s="108">
        <v>2500</v>
      </c>
      <c r="X25" s="95">
        <f>W25*Calculator!$S$98</f>
        <v>3125</v>
      </c>
      <c r="Y25" s="95">
        <f>W25*Calculator!$Z$96</f>
        <v>244.35366435798051</v>
      </c>
      <c r="Z25" s="95">
        <f>IF(W25&lt;Calculator!$G$99,0,IF(W25&lt;Calculator!$G$100,Calculator!$K$99,IF(W25&lt;Calculator!$G$101,Calculator!$K$100,Calculator!$K$101)))</f>
        <v>1163.8999999999999</v>
      </c>
      <c r="AA25" s="96">
        <f t="shared" si="13"/>
        <v>4533.2536643579806</v>
      </c>
      <c r="AB25" s="102">
        <f t="shared" si="14"/>
        <v>1.8133014657431923</v>
      </c>
    </row>
    <row r="26" spans="2:28" x14ac:dyDescent="0.25">
      <c r="B26" s="108">
        <v>2830</v>
      </c>
      <c r="C26" s="95">
        <f>B26*Calculator!$V$77</f>
        <v>2547</v>
      </c>
      <c r="D26" s="95">
        <f>IF(B26&lt;Calculator!$G$80,0,IF(B26&lt;Calculator!$G$81,Calculator!$K$80,IF(B26&lt;Calculator!$G$82,Calculator!$K$81,Calculator!$K$82)))</f>
        <v>2015.8333333333333</v>
      </c>
      <c r="E26" s="95">
        <f>IF(B26&lt;Calculator!$N$80,Calculator!$Q$79,IF(B26&lt;Calculator!$N$81,Calculator!$Q$80,IF(B26&lt;Calculator!$N$82,Calculator!$Q$81,B26*Calculator!$P$82)))</f>
        <v>1477.26</v>
      </c>
      <c r="F26" s="95">
        <f>B26*Calculator!$Z$77</f>
        <v>282.49135297536799</v>
      </c>
      <c r="G26" s="95">
        <f>Calculator!$V$78</f>
        <v>125</v>
      </c>
      <c r="H26" s="95">
        <f>Calculator!$V$79</f>
        <v>200</v>
      </c>
      <c r="I26" s="96">
        <f t="shared" si="9"/>
        <v>6647.5846863087008</v>
      </c>
      <c r="J26" s="97">
        <f t="shared" si="10"/>
        <v>2.3489698538193289</v>
      </c>
      <c r="K26" s="105"/>
      <c r="L26" s="105"/>
      <c r="N26" s="108">
        <v>2830</v>
      </c>
      <c r="O26" s="95">
        <f>N26*Calculator!$S$88</f>
        <v>3197.8999999999996</v>
      </c>
      <c r="P26" s="95">
        <f>IF(N26&lt;Calculator!$G$89,0,IF(N26&lt;Calculator!$G$90,Calculator!$K$89,IF(N26&lt;Calculator!$G$91,Calculator!$K$90,Calculator!$K$91)))</f>
        <v>1612.6666666666667</v>
      </c>
      <c r="Q26" s="95">
        <f>N26*Calculator!$Z$86</f>
        <v>282.49135297536799</v>
      </c>
      <c r="R26" s="96">
        <f t="shared" si="11"/>
        <v>5093.0580196420342</v>
      </c>
      <c r="S26" s="97">
        <f t="shared" si="12"/>
        <v>1.7996671447498354</v>
      </c>
      <c r="W26" s="108">
        <v>2830</v>
      </c>
      <c r="X26" s="95">
        <f>W26*Calculator!$S$98</f>
        <v>3537.5</v>
      </c>
      <c r="Y26" s="95">
        <f>W26*Calculator!$Z$96</f>
        <v>276.60834805323395</v>
      </c>
      <c r="Z26" s="95">
        <f>IF(W26&lt;Calculator!$G$99,0,IF(W26&lt;Calculator!$G$100,Calculator!$K$99,IF(W26&lt;Calculator!$G$101,Calculator!$K$100,Calculator!$K$101)))</f>
        <v>1209.5</v>
      </c>
      <c r="AA26" s="96">
        <f t="shared" si="13"/>
        <v>5023.6083480532343</v>
      </c>
      <c r="AB26" s="102">
        <f t="shared" si="14"/>
        <v>1.7751266247537931</v>
      </c>
    </row>
    <row r="27" spans="2:28" x14ac:dyDescent="0.25">
      <c r="B27" s="108">
        <v>3150</v>
      </c>
      <c r="C27" s="95">
        <f>B27*Calculator!$V$77</f>
        <v>2835</v>
      </c>
      <c r="D27" s="95">
        <f>IF(B27&lt;Calculator!$G$80,0,IF(B27&lt;Calculator!$G$81,Calculator!$K$80,IF(B27&lt;Calculator!$G$82,Calculator!$K$81,Calculator!$K$82)))</f>
        <v>2091.6666666666665</v>
      </c>
      <c r="E27" s="95">
        <f>IF(B27&lt;Calculator!$N$80,Calculator!$Q$79,IF(B27&lt;Calculator!$N$81,Calculator!$Q$80,IF(B27&lt;Calculator!$N$82,Calculator!$Q$81,B27*Calculator!$P$82)))</f>
        <v>1644.3</v>
      </c>
      <c r="F27" s="95">
        <f>B27*Calculator!$Z$77</f>
        <v>314.43383811745906</v>
      </c>
      <c r="G27" s="95">
        <f>Calculator!$V$78</f>
        <v>125</v>
      </c>
      <c r="H27" s="95">
        <f>Calculator!$V$79</f>
        <v>200</v>
      </c>
      <c r="I27" s="96">
        <f t="shared" si="9"/>
        <v>7210.4005047841256</v>
      </c>
      <c r="J27" s="97">
        <f t="shared" si="10"/>
        <v>2.2890160332648017</v>
      </c>
      <c r="K27" s="105"/>
      <c r="L27" s="105"/>
      <c r="N27" s="108">
        <v>3150</v>
      </c>
      <c r="O27" s="95">
        <f>N27*Calculator!$S$88</f>
        <v>3559.4999999999995</v>
      </c>
      <c r="P27" s="95">
        <f>IF(N27&lt;Calculator!$G$89,0,IF(N27&lt;Calculator!$G$90,Calculator!$K$89,IF(N27&lt;Calculator!$G$91,Calculator!$K$90,Calculator!$K$91)))</f>
        <v>1673.3333333333333</v>
      </c>
      <c r="Q27" s="95">
        <f>N27*Calculator!$Z$86</f>
        <v>314.43383811745906</v>
      </c>
      <c r="R27" s="96">
        <f t="shared" si="11"/>
        <v>5547.2671714507924</v>
      </c>
      <c r="S27" s="97">
        <f t="shared" si="12"/>
        <v>1.7610371972859657</v>
      </c>
      <c r="W27" s="108">
        <v>3150</v>
      </c>
      <c r="X27" s="95">
        <f>W27*Calculator!$S$98</f>
        <v>3937.5</v>
      </c>
      <c r="Y27" s="95">
        <f>W27*Calculator!$Z$96</f>
        <v>307.88561709105545</v>
      </c>
      <c r="Z27" s="95">
        <f>IF(W27&lt;Calculator!$G$99,0,IF(W27&lt;Calculator!$G$100,Calculator!$K$99,IF(W27&lt;Calculator!$G$101,Calculator!$K$100,Calculator!$K$101)))</f>
        <v>1255</v>
      </c>
      <c r="AA27" s="96">
        <f t="shared" si="13"/>
        <v>5500.3856170910558</v>
      </c>
      <c r="AB27" s="102">
        <f t="shared" si="14"/>
        <v>1.7461541641558906</v>
      </c>
    </row>
    <row r="28" spans="2:28" x14ac:dyDescent="0.25">
      <c r="B28" s="108">
        <v>4000</v>
      </c>
      <c r="C28" s="95">
        <f>B28*Calculator!$V$77</f>
        <v>3600</v>
      </c>
      <c r="D28" s="95">
        <f>IF(B28&lt;Calculator!$G$80,0,IF(B28&lt;Calculator!$G$81,Calculator!$K$80,IF(B28&lt;Calculator!$G$82,Calculator!$K$81,Calculator!$K$82)))</f>
        <v>2091.6666666666665</v>
      </c>
      <c r="E28" s="95">
        <f>IF(B28&lt;Calculator!$N$80,Calculator!$Q$79,IF(B28&lt;Calculator!$N$81,Calculator!$Q$80,IF(B28&lt;Calculator!$N$82,Calculator!$Q$81,B28*Calculator!$P$82)))</f>
        <v>2088</v>
      </c>
      <c r="F28" s="95">
        <f>B28*Calculator!$Z$77</f>
        <v>399.28106427613852</v>
      </c>
      <c r="G28" s="95">
        <f>Calculator!$V$78</f>
        <v>125</v>
      </c>
      <c r="H28" s="95">
        <f>Calculator!$V$79</f>
        <v>200</v>
      </c>
      <c r="I28" s="96">
        <f t="shared" si="9"/>
        <v>8503.9477309428039</v>
      </c>
      <c r="J28" s="97">
        <f t="shared" si="10"/>
        <v>2.1259869327357008</v>
      </c>
      <c r="K28" s="105"/>
      <c r="L28" s="105"/>
      <c r="N28" s="108">
        <v>4000</v>
      </c>
      <c r="O28" s="95">
        <f>N28*Calculator!$S$88</f>
        <v>4520</v>
      </c>
      <c r="P28" s="95">
        <f>IF(N28&lt;Calculator!$G$89,0,IF(N28&lt;Calculator!$G$90,Calculator!$K$89,IF(N28&lt;Calculator!$G$91,Calculator!$K$90,Calculator!$K$91)))</f>
        <v>1673.3333333333333</v>
      </c>
      <c r="Q28" s="95">
        <f>N28*Calculator!$Z$86</f>
        <v>399.28106427613852</v>
      </c>
      <c r="R28" s="96">
        <f t="shared" si="11"/>
        <v>6592.6143976094718</v>
      </c>
      <c r="S28" s="97">
        <f t="shared" si="12"/>
        <v>1.6481535994023679</v>
      </c>
      <c r="W28" s="108">
        <v>4000</v>
      </c>
      <c r="X28" s="95">
        <f>W28*Calculator!$S$98</f>
        <v>5000</v>
      </c>
      <c r="Y28" s="95">
        <f>W28*Calculator!$Z$96</f>
        <v>390.96586297276883</v>
      </c>
      <c r="Z28" s="95">
        <f>IF(W28&lt;Calculator!$G$99,0,IF(W28&lt;Calculator!$G$100,Calculator!$K$99,IF(W28&lt;Calculator!$G$101,Calculator!$K$100,Calculator!$K$101)))</f>
        <v>1255</v>
      </c>
      <c r="AA28" s="96">
        <f t="shared" si="13"/>
        <v>6645.9658629727692</v>
      </c>
      <c r="AB28" s="102">
        <f t="shared" si="14"/>
        <v>1.6614914657431923</v>
      </c>
    </row>
    <row r="29" spans="2:28" x14ac:dyDescent="0.25">
      <c r="B29" s="108">
        <v>5000</v>
      </c>
      <c r="C29" s="95">
        <f>B29*Calculator!$V$77</f>
        <v>4500</v>
      </c>
      <c r="D29" s="95">
        <f>IF(B29&lt;Calculator!$G$80,0,IF(B29&lt;Calculator!$G$81,Calculator!$K$80,IF(B29&lt;Calculator!$G$82,Calculator!$K$81,Calculator!$K$82)))</f>
        <v>2091.6666666666665</v>
      </c>
      <c r="E29" s="95">
        <f>IF(B29&lt;Calculator!$N$80,Calculator!$Q$79,IF(B29&lt;Calculator!$N$81,Calculator!$Q$80,IF(B29&lt;Calculator!$N$82,Calculator!$Q$81,B29*Calculator!$P$82)))</f>
        <v>2610</v>
      </c>
      <c r="F29" s="95">
        <f>B29*Calculator!$Z$77</f>
        <v>499.10133034517315</v>
      </c>
      <c r="G29" s="95">
        <f>Calculator!$V$78</f>
        <v>125</v>
      </c>
      <c r="H29" s="95">
        <f>Calculator!$V$79</f>
        <v>200</v>
      </c>
      <c r="I29" s="96">
        <f t="shared" si="9"/>
        <v>10025.767997011839</v>
      </c>
      <c r="J29" s="97">
        <f t="shared" si="10"/>
        <v>2.0051535994023677</v>
      </c>
      <c r="K29" s="105"/>
      <c r="L29" s="105"/>
      <c r="N29" s="108">
        <v>5000</v>
      </c>
      <c r="O29" s="95">
        <f>N29*Calculator!$S$88</f>
        <v>5649.9999999999991</v>
      </c>
      <c r="P29" s="95">
        <f>IF(N29&lt;Calculator!$G$89,0,IF(N29&lt;Calculator!$G$90,Calculator!$K$89,IF(N29&lt;Calculator!$G$91,Calculator!$K$90,Calculator!$K$91)))</f>
        <v>1673.3333333333333</v>
      </c>
      <c r="Q29" s="95">
        <f>N29*Calculator!$Z$86</f>
        <v>499.10133034517315</v>
      </c>
      <c r="R29" s="96">
        <f t="shared" si="11"/>
        <v>7822.4346636785049</v>
      </c>
      <c r="S29" s="97">
        <f t="shared" si="12"/>
        <v>1.5644869327357009</v>
      </c>
      <c r="W29" s="108">
        <v>5000</v>
      </c>
      <c r="X29" s="95">
        <f>W29*Calculator!$S$98</f>
        <v>6250</v>
      </c>
      <c r="Y29" s="95">
        <f>W29*Calculator!$Z$96</f>
        <v>488.70732871596101</v>
      </c>
      <c r="Z29" s="95">
        <f>IF(W29&lt;Calculator!$G$99,0,IF(W29&lt;Calculator!$G$100,Calculator!$K$99,IF(W29&lt;Calculator!$G$101,Calculator!$K$100,Calculator!$K$101)))</f>
        <v>1255</v>
      </c>
      <c r="AA29" s="96">
        <f t="shared" si="13"/>
        <v>7993.707328715961</v>
      </c>
      <c r="AB29" s="102">
        <f t="shared" si="14"/>
        <v>1.5987414657431922</v>
      </c>
    </row>
    <row r="30" spans="2:28" x14ac:dyDescent="0.25">
      <c r="B30" s="108">
        <v>6000</v>
      </c>
      <c r="C30" s="95">
        <f>B30*Calculator!$V$77</f>
        <v>5400</v>
      </c>
      <c r="D30" s="95">
        <f>IF(B30&lt;Calculator!$G$80,0,IF(B30&lt;Calculator!$G$81,Calculator!$K$80,IF(B30&lt;Calculator!$G$82,Calculator!$K$81,Calculator!$K$82)))</f>
        <v>2091.6666666666665</v>
      </c>
      <c r="E30" s="95">
        <f>IF(B30&lt;Calculator!$N$80,Calculator!$Q$79,IF(B30&lt;Calculator!$N$81,Calculator!$Q$80,IF(B30&lt;Calculator!$N$82,Calculator!$Q$81,B30*Calculator!$P$82)))</f>
        <v>3132</v>
      </c>
      <c r="F30" s="95">
        <f>B30*Calculator!$Z$77</f>
        <v>598.92159641420778</v>
      </c>
      <c r="G30" s="95">
        <f>Calculator!$V$78</f>
        <v>125</v>
      </c>
      <c r="H30" s="95">
        <f>Calculator!$V$79</f>
        <v>200</v>
      </c>
      <c r="I30" s="96">
        <f t="shared" si="9"/>
        <v>11547.588263080874</v>
      </c>
      <c r="J30" s="97">
        <f t="shared" si="10"/>
        <v>1.9245980438468122</v>
      </c>
      <c r="K30" s="105"/>
      <c r="L30" s="105"/>
      <c r="N30" s="108">
        <v>6000</v>
      </c>
      <c r="O30" s="95">
        <f>N30*Calculator!$S$88</f>
        <v>6779.9999999999991</v>
      </c>
      <c r="P30" s="95">
        <f>IF(N30&lt;Calculator!$G$89,0,IF(N30&lt;Calculator!$G$90,Calculator!$K$89,IF(N30&lt;Calculator!$G$91,Calculator!$K$90,Calculator!$K$91)))</f>
        <v>1673.3333333333333</v>
      </c>
      <c r="Q30" s="95">
        <f>N30*Calculator!$Z$86</f>
        <v>598.92159641420778</v>
      </c>
      <c r="R30" s="96">
        <f t="shared" si="11"/>
        <v>9052.2549297475398</v>
      </c>
      <c r="S30" s="97">
        <f t="shared" si="12"/>
        <v>1.5087091549579232</v>
      </c>
      <c r="W30" s="108">
        <v>6000</v>
      </c>
      <c r="X30" s="95">
        <f>W30*Calculator!$S$98</f>
        <v>7500</v>
      </c>
      <c r="Y30" s="95">
        <f>W30*Calculator!$Z$96</f>
        <v>586.44879445915319</v>
      </c>
      <c r="Z30" s="95">
        <f>IF(W30&lt;Calculator!$G$99,0,IF(W30&lt;Calculator!$G$100,Calculator!$K$99,IF(W30&lt;Calculator!$G$101,Calculator!$K$100,Calculator!$K$101)))</f>
        <v>1255</v>
      </c>
      <c r="AA30" s="96">
        <f t="shared" si="13"/>
        <v>9341.4487944591529</v>
      </c>
      <c r="AB30" s="102">
        <f t="shared" si="14"/>
        <v>1.5569081324098588</v>
      </c>
    </row>
    <row r="31" spans="2:28" x14ac:dyDescent="0.25">
      <c r="B31" s="108">
        <v>7000</v>
      </c>
      <c r="C31" s="95">
        <f>B31*Calculator!$V$77</f>
        <v>6300</v>
      </c>
      <c r="D31" s="95">
        <f>IF(B31&lt;Calculator!$G$80,0,IF(B31&lt;Calculator!$G$81,Calculator!$K$80,IF(B31&lt;Calculator!$G$82,Calculator!$K$81,Calculator!$K$82)))</f>
        <v>2091.6666666666665</v>
      </c>
      <c r="E31" s="95">
        <f>IF(B31&lt;Calculator!$N$80,Calculator!$Q$79,IF(B31&lt;Calculator!$N$81,Calculator!$Q$80,IF(B31&lt;Calculator!$N$82,Calculator!$Q$81,B31*Calculator!$P$82)))</f>
        <v>3654</v>
      </c>
      <c r="F31" s="95">
        <f>B31*Calculator!$Z$77</f>
        <v>698.74186248324236</v>
      </c>
      <c r="G31" s="95">
        <f>Calculator!$V$78</f>
        <v>125</v>
      </c>
      <c r="H31" s="95">
        <f>Calculator!$V$79</f>
        <v>200</v>
      </c>
      <c r="I31" s="96">
        <f t="shared" si="9"/>
        <v>13069.408529149909</v>
      </c>
      <c r="J31" s="97">
        <f t="shared" si="10"/>
        <v>1.8670583613071299</v>
      </c>
      <c r="K31" s="105"/>
      <c r="L31" s="105"/>
      <c r="N31" s="108">
        <v>7000</v>
      </c>
      <c r="O31" s="95">
        <f>N31*Calculator!$S$88</f>
        <v>7909.9999999999991</v>
      </c>
      <c r="P31" s="95">
        <f>IF(N31&lt;Calculator!$G$89,0,IF(N31&lt;Calculator!$G$90,Calculator!$K$89,IF(N31&lt;Calculator!$G$91,Calculator!$K$90,Calculator!$K$91)))</f>
        <v>1673.3333333333333</v>
      </c>
      <c r="Q31" s="95">
        <f>N31*Calculator!$Z$86</f>
        <v>698.74186248324236</v>
      </c>
      <c r="R31" s="96">
        <f t="shared" si="11"/>
        <v>10282.075195816575</v>
      </c>
      <c r="S31" s="97">
        <f t="shared" si="12"/>
        <v>1.4688678851166534</v>
      </c>
      <c r="W31" s="108">
        <v>7000</v>
      </c>
      <c r="X31" s="95">
        <f>W31*Calculator!$S$98</f>
        <v>8750</v>
      </c>
      <c r="Y31" s="95">
        <f>W31*Calculator!$Z$96</f>
        <v>684.19026020234537</v>
      </c>
      <c r="Z31" s="95">
        <f>IF(W31&lt;Calculator!$G$99,0,IF(W31&lt;Calculator!$G$100,Calculator!$K$99,IF(W31&lt;Calculator!$G$101,Calculator!$K$100,Calculator!$K$101)))</f>
        <v>1255</v>
      </c>
      <c r="AA31" s="96">
        <f t="shared" si="13"/>
        <v>10689.190260202346</v>
      </c>
      <c r="AB31" s="102">
        <f t="shared" si="14"/>
        <v>1.5270271800289066</v>
      </c>
    </row>
    <row r="32" spans="2:28" x14ac:dyDescent="0.25">
      <c r="B32" s="108">
        <v>8000</v>
      </c>
      <c r="C32" s="95">
        <f>B32*Calculator!$V$77</f>
        <v>7200</v>
      </c>
      <c r="D32" s="95">
        <f>IF(B32&lt;Calculator!$G$80,0,IF(B32&lt;Calculator!$G$81,Calculator!$K$80,IF(B32&lt;Calculator!$G$82,Calculator!$K$81,Calculator!$K$82)))</f>
        <v>2091.6666666666665</v>
      </c>
      <c r="E32" s="95">
        <f>IF(B32&lt;Calculator!$N$80,Calculator!$Q$79,IF(B32&lt;Calculator!$N$81,Calculator!$Q$80,IF(B32&lt;Calculator!$N$82,Calculator!$Q$81,B32*Calculator!$P$82)))</f>
        <v>4176</v>
      </c>
      <c r="F32" s="95">
        <f>B32*Calculator!$Z$77</f>
        <v>798.56212855227704</v>
      </c>
      <c r="G32" s="95">
        <f>Calculator!$V$78</f>
        <v>125</v>
      </c>
      <c r="H32" s="95">
        <f>Calculator!$V$79</f>
        <v>200</v>
      </c>
      <c r="I32" s="96">
        <f t="shared" si="9"/>
        <v>14591.228795218944</v>
      </c>
      <c r="J32" s="97">
        <f t="shared" si="10"/>
        <v>1.823903599402368</v>
      </c>
      <c r="K32" s="105"/>
      <c r="L32" s="105"/>
      <c r="N32" s="108">
        <v>8000</v>
      </c>
      <c r="O32" s="95">
        <f>N32*Calculator!$S$88</f>
        <v>9040</v>
      </c>
      <c r="P32" s="95">
        <f>IF(N32&lt;Calculator!$G$89,0,IF(N32&lt;Calculator!$G$90,Calculator!$K$89,IF(N32&lt;Calculator!$G$91,Calculator!$K$90,Calculator!$K$91)))</f>
        <v>1673.3333333333333</v>
      </c>
      <c r="Q32" s="95">
        <f>N32*Calculator!$Z$86</f>
        <v>798.56212855227704</v>
      </c>
      <c r="R32" s="96">
        <f t="shared" si="11"/>
        <v>11511.895461885611</v>
      </c>
      <c r="S32" s="97">
        <f t="shared" si="12"/>
        <v>1.4389869327357014</v>
      </c>
      <c r="W32" s="108">
        <v>8000</v>
      </c>
      <c r="X32" s="95">
        <f>W32*Calculator!$S$98</f>
        <v>10000</v>
      </c>
      <c r="Y32" s="95">
        <f>W32*Calculator!$Z$96</f>
        <v>781.93172594553766</v>
      </c>
      <c r="Z32" s="95">
        <f>IF(W32&lt;Calculator!$G$99,0,IF(W32&lt;Calculator!$G$100,Calculator!$K$99,IF(W32&lt;Calculator!$G$101,Calculator!$K$100,Calculator!$K$101)))</f>
        <v>1255</v>
      </c>
      <c r="AA32" s="96">
        <f t="shared" si="13"/>
        <v>12036.931725945538</v>
      </c>
      <c r="AB32" s="102">
        <f t="shared" si="14"/>
        <v>1.5046164657431922</v>
      </c>
    </row>
    <row r="33" spans="2:28" x14ac:dyDescent="0.25">
      <c r="B33" s="108">
        <v>9000</v>
      </c>
      <c r="C33" s="95">
        <f>B33*Calculator!$V$77</f>
        <v>8100</v>
      </c>
      <c r="D33" s="95">
        <f>IF(B33&lt;Calculator!$G$80,0,IF(B33&lt;Calculator!$G$81,Calculator!$K$80,IF(B33&lt;Calculator!$G$82,Calculator!$K$81,Calculator!$K$82)))</f>
        <v>2091.6666666666665</v>
      </c>
      <c r="E33" s="95">
        <f>IF(B33&lt;Calculator!$N$80,Calculator!$Q$79,IF(B33&lt;Calculator!$N$81,Calculator!$Q$80,IF(B33&lt;Calculator!$N$82,Calculator!$Q$81,B33*Calculator!$P$82)))</f>
        <v>4698</v>
      </c>
      <c r="F33" s="95">
        <f>B33*Calculator!$Z$77</f>
        <v>898.38239462131162</v>
      </c>
      <c r="G33" s="95">
        <f>Calculator!$V$78</f>
        <v>125</v>
      </c>
      <c r="H33" s="95">
        <f>Calculator!$V$79</f>
        <v>200</v>
      </c>
      <c r="I33" s="96">
        <f t="shared" si="9"/>
        <v>16113.049061287978</v>
      </c>
      <c r="J33" s="97">
        <f t="shared" si="10"/>
        <v>1.7903387845875531</v>
      </c>
      <c r="K33" s="105"/>
      <c r="L33" s="105"/>
      <c r="N33" s="108">
        <v>9000</v>
      </c>
      <c r="O33" s="95">
        <f>N33*Calculator!$S$88</f>
        <v>10169.999999999998</v>
      </c>
      <c r="P33" s="95">
        <f>IF(N33&lt;Calculator!$G$89,0,IF(N33&lt;Calculator!$G$90,Calculator!$K$89,IF(N33&lt;Calculator!$G$91,Calculator!$K$90,Calculator!$K$91)))</f>
        <v>1673.3333333333333</v>
      </c>
      <c r="Q33" s="95">
        <f>N33*Calculator!$Z$86</f>
        <v>898.38239462131162</v>
      </c>
      <c r="R33" s="96">
        <f t="shared" si="11"/>
        <v>12741.715727954645</v>
      </c>
      <c r="S33" s="97">
        <f t="shared" si="12"/>
        <v>1.4157461919949605</v>
      </c>
      <c r="W33" s="108">
        <v>9000</v>
      </c>
      <c r="X33" s="95">
        <f>W33*Calculator!$S$98</f>
        <v>11250</v>
      </c>
      <c r="Y33" s="95">
        <f>W33*Calculator!$Z$96</f>
        <v>879.67319168872984</v>
      </c>
      <c r="Z33" s="95">
        <f>IF(W33&lt;Calculator!$G$99,0,IF(W33&lt;Calculator!$G$100,Calculator!$K$99,IF(W33&lt;Calculator!$G$101,Calculator!$K$100,Calculator!$K$101)))</f>
        <v>1255</v>
      </c>
      <c r="AA33" s="96">
        <f t="shared" si="13"/>
        <v>13384.673191688729</v>
      </c>
      <c r="AB33" s="102">
        <f t="shared" si="14"/>
        <v>1.4871859101876366</v>
      </c>
    </row>
    <row r="34" spans="2:28" x14ac:dyDescent="0.25">
      <c r="B34" s="108">
        <v>10000</v>
      </c>
      <c r="C34" s="95">
        <f>B34*Calculator!$V$77</f>
        <v>9000</v>
      </c>
      <c r="D34" s="95">
        <f>IF(B34&lt;Calculator!$G$80,0,IF(B34&lt;Calculator!$G$81,Calculator!$K$80,IF(B34&lt;Calculator!$G$82,Calculator!$K$81,Calculator!$K$82)))</f>
        <v>2091.6666666666665</v>
      </c>
      <c r="E34" s="95">
        <f>IF(B34&lt;Calculator!$N$80,Calculator!$Q$79,IF(B34&lt;Calculator!$N$81,Calculator!$Q$80,IF(B34&lt;Calculator!$N$82,Calculator!$Q$81,B34*Calculator!$P$82)))</f>
        <v>5220</v>
      </c>
      <c r="F34" s="95">
        <f>B34*Calculator!$Z$77</f>
        <v>998.20266069034631</v>
      </c>
      <c r="G34" s="95">
        <f>Calculator!$V$78</f>
        <v>125</v>
      </c>
      <c r="H34" s="95">
        <f>Calculator!$V$79</f>
        <v>200</v>
      </c>
      <c r="I34" s="96">
        <f t="shared" si="9"/>
        <v>17634.869327357013</v>
      </c>
      <c r="J34" s="97">
        <f t="shared" si="10"/>
        <v>1.7634869327357012</v>
      </c>
      <c r="K34" s="105"/>
      <c r="L34" s="105"/>
      <c r="N34" s="108">
        <v>10000</v>
      </c>
      <c r="O34" s="95">
        <f>N34*Calculator!$S$88</f>
        <v>11299.999999999998</v>
      </c>
      <c r="P34" s="95">
        <f>IF(N34&lt;Calculator!$G$89,0,IF(N34&lt;Calculator!$G$90,Calculator!$K$89,IF(N34&lt;Calculator!$G$91,Calculator!$K$90,Calculator!$K$91)))</f>
        <v>1673.3333333333333</v>
      </c>
      <c r="Q34" s="95">
        <f>N34*Calculator!$Z$86</f>
        <v>998.20266069034631</v>
      </c>
      <c r="R34" s="96">
        <f t="shared" si="11"/>
        <v>13971.535994023678</v>
      </c>
      <c r="S34" s="97">
        <f t="shared" si="12"/>
        <v>1.3971535994023678</v>
      </c>
      <c r="W34" s="108">
        <v>10000</v>
      </c>
      <c r="X34" s="95">
        <f>W34*Calculator!$S$98</f>
        <v>12500</v>
      </c>
      <c r="Y34" s="95">
        <f>W34*Calculator!$Z$96</f>
        <v>977.41465743192202</v>
      </c>
      <c r="Z34" s="95">
        <f>IF(W34&lt;Calculator!$G$99,0,IF(W34&lt;Calculator!$G$100,Calculator!$K$99,IF(W34&lt;Calculator!$G$101,Calculator!$K$100,Calculator!$K$101)))</f>
        <v>1255</v>
      </c>
      <c r="AA34" s="96">
        <f t="shared" si="13"/>
        <v>14732.414657431922</v>
      </c>
      <c r="AB34" s="102">
        <f t="shared" si="14"/>
        <v>1.4732414657431923</v>
      </c>
    </row>
    <row r="35" spans="2:28" x14ac:dyDescent="0.25">
      <c r="B35" s="108">
        <v>11000</v>
      </c>
      <c r="C35" s="95">
        <f>B35*Calculator!$V$77</f>
        <v>9900</v>
      </c>
      <c r="D35" s="95">
        <f>IF(B35&lt;Calculator!$G$80,0,IF(B35&lt;Calculator!$G$81,Calculator!$K$80,IF(B35&lt;Calculator!$G$82,Calculator!$K$81,Calculator!$K$82)))</f>
        <v>2091.6666666666665</v>
      </c>
      <c r="E35" s="95">
        <f>IF(B35&lt;Calculator!$N$80,Calculator!$Q$79,IF(B35&lt;Calculator!$N$81,Calculator!$Q$80,IF(B35&lt;Calculator!$N$82,Calculator!$Q$81,B35*Calculator!$P$82)))</f>
        <v>5742</v>
      </c>
      <c r="F35" s="95">
        <f>B35*Calculator!$Z$77</f>
        <v>1098.0229267593809</v>
      </c>
      <c r="G35" s="95">
        <f>Calculator!$V$78</f>
        <v>125</v>
      </c>
      <c r="H35" s="95">
        <f>Calculator!$V$79</f>
        <v>200</v>
      </c>
      <c r="I35" s="96">
        <f t="shared" si="9"/>
        <v>19156.689593426046</v>
      </c>
      <c r="J35" s="97">
        <f t="shared" si="10"/>
        <v>1.7415172357660043</v>
      </c>
      <c r="K35" s="105"/>
      <c r="L35" s="105"/>
      <c r="N35" s="108">
        <v>11000</v>
      </c>
      <c r="O35" s="95">
        <f>N35*Calculator!$S$88</f>
        <v>12429.999999999998</v>
      </c>
      <c r="P35" s="95">
        <f>IF(N35&lt;Calculator!$G$89,0,IF(N35&lt;Calculator!$G$90,Calculator!$K$89,IF(N35&lt;Calculator!$G$91,Calculator!$K$90,Calculator!$K$91)))</f>
        <v>1673.3333333333333</v>
      </c>
      <c r="Q35" s="95">
        <f>N35*Calculator!$Z$86</f>
        <v>1098.0229267593809</v>
      </c>
      <c r="R35" s="96">
        <f t="shared" si="11"/>
        <v>15201.356260092713</v>
      </c>
      <c r="S35" s="97">
        <f t="shared" si="12"/>
        <v>1.3819414781902466</v>
      </c>
      <c r="W35" s="108">
        <v>11000</v>
      </c>
      <c r="X35" s="95">
        <f>W35*Calculator!$S$98</f>
        <v>13750</v>
      </c>
      <c r="Y35" s="95">
        <f>W35*Calculator!$Z$96</f>
        <v>1075.1561231751143</v>
      </c>
      <c r="Z35" s="95">
        <f>IF(W35&lt;Calculator!$G$99,0,IF(W35&lt;Calculator!$G$100,Calculator!$K$99,IF(W35&lt;Calculator!$G$101,Calculator!$K$100,Calculator!$K$101)))</f>
        <v>1255</v>
      </c>
      <c r="AA35" s="96">
        <f t="shared" si="13"/>
        <v>16080.156123175115</v>
      </c>
      <c r="AB35" s="102">
        <f t="shared" si="14"/>
        <v>1.4618323748341013</v>
      </c>
    </row>
    <row r="36" spans="2:28" x14ac:dyDescent="0.25">
      <c r="B36" s="108">
        <v>13000</v>
      </c>
      <c r="C36" s="95">
        <f>B36*Calculator!$V$77</f>
        <v>11700</v>
      </c>
      <c r="D36" s="95">
        <f>IF(B36&lt;Calculator!$G$80,0,IF(B36&lt;Calculator!$G$81,Calculator!$K$80,IF(B36&lt;Calculator!$G$82,Calculator!$K$81,Calculator!$K$82)))</f>
        <v>2091.6666666666665</v>
      </c>
      <c r="E36" s="95">
        <f>IF(B36&lt;Calculator!$N$80,Calculator!$Q$79,IF(B36&lt;Calculator!$N$81,Calculator!$Q$80,IF(B36&lt;Calculator!$N$82,Calculator!$Q$81,B36*Calculator!$P$82)))</f>
        <v>6786</v>
      </c>
      <c r="F36" s="95">
        <f>B36*Calculator!$Z$77</f>
        <v>1297.6634588974503</v>
      </c>
      <c r="G36" s="95">
        <f>Calculator!$V$78</f>
        <v>125</v>
      </c>
      <c r="H36" s="95">
        <f>Calculator!$V$79</f>
        <v>200</v>
      </c>
      <c r="I36" s="96">
        <f t="shared" si="9"/>
        <v>22200.330125564113</v>
      </c>
      <c r="J36" s="97">
        <f t="shared" si="10"/>
        <v>1.7077177019664702</v>
      </c>
      <c r="K36" s="105"/>
      <c r="L36" s="105"/>
      <c r="N36" s="108">
        <v>13000</v>
      </c>
      <c r="O36" s="95">
        <f>N36*Calculator!$S$88</f>
        <v>14689.999999999998</v>
      </c>
      <c r="P36" s="95">
        <f>IF(N36&lt;Calculator!$G$89,0,IF(N36&lt;Calculator!$G$90,Calculator!$K$89,IF(N36&lt;Calculator!$G$91,Calculator!$K$90,Calculator!$K$91)))</f>
        <v>1673.3333333333333</v>
      </c>
      <c r="Q36" s="95">
        <f>N36*Calculator!$Z$86</f>
        <v>1297.6634588974503</v>
      </c>
      <c r="R36" s="96">
        <f t="shared" si="11"/>
        <v>17660.996792230784</v>
      </c>
      <c r="S36" s="97">
        <f t="shared" si="12"/>
        <v>1.3585382147869833</v>
      </c>
      <c r="W36" s="108">
        <v>13000</v>
      </c>
      <c r="X36" s="95">
        <f>W36*Calculator!$S$98</f>
        <v>16250</v>
      </c>
      <c r="Y36" s="95">
        <f>W36*Calculator!$Z$96</f>
        <v>1270.6390546614987</v>
      </c>
      <c r="Z36" s="95">
        <f>IF(W36&lt;Calculator!$G$99,0,IF(W36&lt;Calculator!$G$100,Calculator!$K$99,IF(W36&lt;Calculator!$G$101,Calculator!$K$100,Calculator!$K$101)))</f>
        <v>1255</v>
      </c>
      <c r="AA36" s="96">
        <f t="shared" si="13"/>
        <v>18775.6390546615</v>
      </c>
      <c r="AB36" s="102">
        <f t="shared" si="14"/>
        <v>1.4442799272816538</v>
      </c>
    </row>
    <row r="37" spans="2:28" ht="15.75" thickBot="1" x14ac:dyDescent="0.3">
      <c r="B37" s="108">
        <v>15000</v>
      </c>
      <c r="C37" s="95">
        <f>B37*Calculator!$V$77</f>
        <v>13500</v>
      </c>
      <c r="D37" s="95">
        <f>IF(B37&lt;Calculator!$G$80,0,IF(B37&lt;Calculator!$G$81,Calculator!$K$80,IF(B37&lt;Calculator!$G$82,Calculator!$K$81,Calculator!$K$82)))</f>
        <v>2091.6666666666665</v>
      </c>
      <c r="E37" s="95">
        <f>IF(B37&lt;Calculator!$N$80,Calculator!$Q$79,IF(B37&lt;Calculator!$N$81,Calculator!$Q$80,IF(B37&lt;Calculator!$N$82,Calculator!$Q$81,B37*Calculator!$P$82)))</f>
        <v>7830</v>
      </c>
      <c r="F37" s="95">
        <f>B37*Calculator!$Z$77</f>
        <v>1497.3039910355194</v>
      </c>
      <c r="G37" s="95">
        <f>Calculator!$V$78</f>
        <v>125</v>
      </c>
      <c r="H37" s="95">
        <f>Calculator!$V$79</f>
        <v>200</v>
      </c>
      <c r="I37" s="98">
        <f t="shared" si="9"/>
        <v>25243.970657702183</v>
      </c>
      <c r="J37" s="99">
        <f t="shared" si="10"/>
        <v>1.6829313771801455</v>
      </c>
      <c r="K37" s="105"/>
      <c r="L37" s="105"/>
      <c r="N37" s="108">
        <v>15000</v>
      </c>
      <c r="O37" s="95">
        <f>N37*Calculator!$S$88</f>
        <v>16950</v>
      </c>
      <c r="P37" s="95">
        <f>IF(N37&lt;Calculator!$G$89,0,IF(N37&lt;Calculator!$G$90,Calculator!$K$89,IF(N37&lt;Calculator!$G$91,Calculator!$K$90,Calculator!$K$91)))</f>
        <v>1673.3333333333333</v>
      </c>
      <c r="Q37" s="95">
        <f>N37*Calculator!$Z$86</f>
        <v>1497.3039910355194</v>
      </c>
      <c r="R37" s="98">
        <f t="shared" si="11"/>
        <v>20120.63732436885</v>
      </c>
      <c r="S37" s="99">
        <f t="shared" si="12"/>
        <v>1.3413758216245901</v>
      </c>
      <c r="W37" s="108">
        <v>15000</v>
      </c>
      <c r="X37" s="95">
        <f>W37*Calculator!$S$98</f>
        <v>18750</v>
      </c>
      <c r="Y37" s="95">
        <f>W37*Calculator!$Z$96</f>
        <v>1466.121986147883</v>
      </c>
      <c r="Z37" s="95">
        <f>IF(W37&lt;Calculator!$G$99,0,IF(W37&lt;Calculator!$G$100,Calculator!$K$99,IF(W37&lt;Calculator!$G$101,Calculator!$K$100,Calculator!$K$101)))</f>
        <v>1255</v>
      </c>
      <c r="AA37" s="98">
        <f t="shared" si="13"/>
        <v>21471.121986147882</v>
      </c>
      <c r="AB37" s="103">
        <f t="shared" si="14"/>
        <v>1.4314081324098589</v>
      </c>
    </row>
    <row r="41" spans="2:28" x14ac:dyDescent="0.25">
      <c r="B41" s="145"/>
      <c r="C41" s="145"/>
      <c r="D41" s="145"/>
      <c r="E41" s="145"/>
      <c r="F41" s="145"/>
      <c r="G41" s="145"/>
      <c r="H41" s="145"/>
      <c r="I41" s="144"/>
      <c r="J41" s="147"/>
    </row>
  </sheetData>
  <sheetProtection sheet="1" objects="1" scenarios="1"/>
  <mergeCells count="4">
    <mergeCell ref="W20:AB21"/>
    <mergeCell ref="N2:R2"/>
    <mergeCell ref="B2:F2"/>
    <mergeCell ref="W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Calculator</vt:lpstr>
      <vt:lpstr>Cashflow</vt:lpstr>
      <vt:lpstr>Indicative Income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Digby</dc:creator>
  <cp:lastModifiedBy>Michael Digby</cp:lastModifiedBy>
  <dcterms:created xsi:type="dcterms:W3CDTF">2016-10-21T09:07:12Z</dcterms:created>
  <dcterms:modified xsi:type="dcterms:W3CDTF">2017-03-29T08:58:50Z</dcterms:modified>
</cp:coreProperties>
</file>