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abbutt\Downloads\"/>
    </mc:Choice>
  </mc:AlternateContent>
  <xr:revisionPtr revIDLastSave="0" documentId="8_{EE81162F-803A-4DD2-9186-6309479C2336}" xr6:coauthVersionLast="47" xr6:coauthVersionMax="47" xr10:uidLastSave="{00000000-0000-0000-0000-000000000000}"/>
  <bookViews>
    <workbookView xWindow="-110" yWindow="-110" windowWidth="19420" windowHeight="11500" xr2:uid="{BD1E96DA-36E4-452B-9961-4221F60EFBAF}"/>
  </bookViews>
  <sheets>
    <sheet name="Introduction" sheetId="2" r:id="rId1"/>
    <sheet name="Pharmacy calculator" sheetId="4" r:id="rId2"/>
    <sheet name="PQS table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4" l="1"/>
  <c r="D25" i="4"/>
  <c r="D24" i="4"/>
  <c r="G26" i="4"/>
  <c r="G25" i="4"/>
  <c r="G24" i="4"/>
  <c r="G23" i="4"/>
  <c r="D23" i="4"/>
  <c r="D20" i="4"/>
  <c r="D19" i="4"/>
  <c r="G20" i="4"/>
  <c r="G19" i="4"/>
  <c r="G17" i="4"/>
  <c r="G16" i="4"/>
  <c r="G15" i="4"/>
  <c r="G14" i="4"/>
  <c r="G12" i="4"/>
  <c r="D11" i="4"/>
  <c r="G11" i="4"/>
  <c r="G10" i="4"/>
  <c r="G9" i="4"/>
  <c r="D17" i="4"/>
  <c r="D16" i="4"/>
  <c r="D15" i="4"/>
  <c r="D14" i="4"/>
  <c r="D13" i="4"/>
  <c r="D12" i="4"/>
  <c r="D10" i="4"/>
  <c r="D9" i="4"/>
  <c r="G28" i="4" l="1"/>
  <c r="D18" i="4"/>
  <c r="D22" i="4"/>
  <c r="D21" i="4"/>
  <c r="D28" i="4" l="1"/>
  <c r="G11" i="3"/>
  <c r="H11" i="3" s="1"/>
  <c r="G12" i="3"/>
  <c r="H12" i="3" s="1"/>
  <c r="G13" i="3"/>
  <c r="H13" i="3" s="1"/>
  <c r="G14" i="3"/>
  <c r="H14" i="3" s="1"/>
  <c r="G15" i="3"/>
  <c r="H15" i="3" s="1"/>
  <c r="G10" i="3"/>
  <c r="H10" i="3" s="1"/>
</calcChain>
</file>

<file path=xl/sharedStrings.xml><?xml version="1.0" encoding="utf-8"?>
<sst xmlns="http://schemas.openxmlformats.org/spreadsheetml/2006/main" count="59" uniqueCount="58">
  <si>
    <t>IMPORTANT CAVEATS</t>
  </si>
  <si>
    <t>These figures are illustrative only</t>
  </si>
  <si>
    <t>Pharmacy Access Scheme (PhAS) payments are not factored into these tables. Information on PhAS and a list of eligible pharmacies is available at</t>
  </si>
  <si>
    <t>psnc.org.uk/phas</t>
  </si>
  <si>
    <t xml:space="preserve">Estimated average buying profit is derived from the total agreed margin divided by the forecasted items, and is intended only as a guide. </t>
  </si>
  <si>
    <t xml:space="preserve">Special fees and allowances have been distributed in proportion to monthly items for illustrative purposes only. In practice, individual pharmacy </t>
  </si>
  <si>
    <t>income will vary according to the mix of products dispensed.</t>
  </si>
  <si>
    <t>lower</t>
  </si>
  <si>
    <t>upper</t>
  </si>
  <si>
    <t>points</t>
  </si>
  <si>
    <t>total</t>
  </si>
  <si>
    <t>pcm</t>
  </si>
  <si>
    <t>min £ per point</t>
  </si>
  <si>
    <t>Average items per month</t>
  </si>
  <si>
    <t>HCFS ABPM per month</t>
  </si>
  <si>
    <t>PCS repeat consultations per month</t>
  </si>
  <si>
    <t>PCS initiation consultations per month</t>
  </si>
  <si>
    <t>CPCS - UMS per month</t>
  </si>
  <si>
    <t>CPCS - MI per month</t>
  </si>
  <si>
    <t>Clinical pathways consults per month</t>
  </si>
  <si>
    <t>NMS per month (part 1)</t>
  </si>
  <si>
    <t>NMS per month (part 2)</t>
  </si>
  <si>
    <t>DMS per month</t>
  </si>
  <si>
    <t>AUR consultations per month</t>
  </si>
  <si>
    <t>Stoma customisations per month</t>
  </si>
  <si>
    <t>Smoking cessations patients per month</t>
  </si>
  <si>
    <t>Total</t>
  </si>
  <si>
    <t>Pharmacy First fixed payment</t>
  </si>
  <si>
    <t>Estimated average buying profit</t>
  </si>
  <si>
    <t>SAFs</t>
  </si>
  <si>
    <t>Other dispensing fees</t>
  </si>
  <si>
    <t>No estimate of Serious Shortage Protocol fees which may be earned by contractors is included</t>
  </si>
  <si>
    <t>EHC consultations per month</t>
  </si>
  <si>
    <t>PQS payments are not included</t>
  </si>
  <si>
    <t>The Indicative Income Calculator is not intended to cover locally agreed contracts (i.e. Local Pharmaceutical Services contracts).</t>
  </si>
  <si>
    <t>HCFS clinic checks per month</t>
  </si>
  <si>
    <t>Note on service caps</t>
  </si>
  <si>
    <t>Please refer to the Drug Tariff / information published by NHSBSA if you are unsure of any caps or</t>
  </si>
  <si>
    <t>Community Pharmacy Contractual Framework: Indicative Income Calculator</t>
  </si>
  <si>
    <t>This calculator assumes all input values fall within the pharmacy's cap and are therefore remunerated.</t>
  </si>
  <si>
    <t>allowances for your pharmacy.</t>
  </si>
  <si>
    <t>Average 2025/26 monthly income</t>
  </si>
  <si>
    <t>Average 2023/24 monthly income</t>
  </si>
  <si>
    <t>Estimated monthly income for 2025/26 and 2023/24</t>
  </si>
  <si>
    <t>Note regarding margin write off</t>
  </si>
  <si>
    <t>nominal in year allowances of £800m and £900m respectively.</t>
  </si>
  <si>
    <t>The £193m write off of margin earned in historical periods</t>
  </si>
  <si>
    <t>accrued.</t>
  </si>
  <si>
    <t>is not shown in this comparison. The write off means margin</t>
  </si>
  <si>
    <t>income in 2025/26 is higher than it would have otherwise</t>
  </si>
  <si>
    <t>been, due to not having to repay the historic excess that was</t>
  </si>
  <si>
    <t>Volumes for items and services in the calculator below are based on the average pharmacy in 2023/24</t>
  </si>
  <si>
    <t xml:space="preserve">and projected average for 2025/26. You can overwrite values in the green cells below to produce a </t>
  </si>
  <si>
    <t>personalised estimate for your pharmacy.</t>
  </si>
  <si>
    <t>2025/26 inputs</t>
  </si>
  <si>
    <t>2023/24 inputs</t>
  </si>
  <si>
    <t>Last updated April 2025</t>
  </si>
  <si>
    <t>Margin comparison between 2023/24 and 2025/26 is based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</si>
</sst>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&quot;£&quot;#,##0.00"/>
    <numFmt numFmtId="166" formatCode="&quot;£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darkDown">
        <fgColor rgb="FFFFC5C5"/>
        <bgColor theme="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mediumDashed">
        <color indexed="64"/>
      </left>
      <right style="mediumDashed">
        <color indexed="64"/>
      </right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2" fillId="0" borderId="0" xfId="0" applyFont="1" applyAlignment="1">
      <alignment horizontal="left" vertical="center"/>
    </xf>
    <xf numFmtId="0" fontId="0" fillId="3" borderId="0" xfId="0" applyFill="1"/>
    <xf numFmtId="0" fontId="3" fillId="3" borderId="0" xfId="0" applyFont="1" applyFill="1"/>
    <xf numFmtId="0" fontId="0" fillId="2" borderId="0" xfId="0" applyFill="1" applyAlignment="1">
      <alignment horizontal="right"/>
    </xf>
    <xf numFmtId="166" fontId="0" fillId="2" borderId="0" xfId="1" applyNumberFormat="1" applyFont="1" applyFill="1"/>
    <xf numFmtId="165" fontId="0" fillId="2" borderId="0" xfId="0" applyNumberFormat="1" applyFill="1"/>
    <xf numFmtId="164" fontId="0" fillId="2" borderId="0" xfId="1" applyNumberFormat="1" applyFont="1" applyFill="1"/>
    <xf numFmtId="0" fontId="0" fillId="2" borderId="3" xfId="0" applyFill="1" applyBorder="1"/>
    <xf numFmtId="0" fontId="4" fillId="2" borderId="2" xfId="0" applyFont="1" applyFill="1" applyBorder="1"/>
    <xf numFmtId="166" fontId="0" fillId="2" borderId="4" xfId="0" applyNumberFormat="1" applyFill="1" applyBorder="1"/>
    <xf numFmtId="166" fontId="0" fillId="2" borderId="1" xfId="0" applyNumberFormat="1" applyFill="1" applyBorder="1"/>
    <xf numFmtId="0" fontId="2" fillId="4" borderId="0" xfId="0" applyFont="1" applyFill="1"/>
    <xf numFmtId="0" fontId="0" fillId="4" borderId="0" xfId="0" applyFill="1"/>
    <xf numFmtId="164" fontId="4" fillId="5" borderId="6" xfId="1" applyNumberFormat="1" applyFont="1" applyFill="1" applyBorder="1"/>
    <xf numFmtId="164" fontId="4" fillId="5" borderId="7" xfId="1" applyNumberFormat="1" applyFont="1" applyFill="1" applyBorder="1"/>
    <xf numFmtId="164" fontId="4" fillId="6" borderId="6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 wrapText="1"/>
    </xf>
    <xf numFmtId="0" fontId="4" fillId="2" borderId="5" xfId="0" applyFont="1" applyFill="1" applyBorder="1" applyAlignment="1">
      <alignment horizontal="right" wrapText="1"/>
    </xf>
    <xf numFmtId="166" fontId="0" fillId="2" borderId="0" xfId="0" applyNumberFormat="1" applyFill="1"/>
    <xf numFmtId="0" fontId="4" fillId="2" borderId="0" xfId="0" applyFont="1" applyFill="1" applyAlignment="1">
      <alignment horizontal="right" wrapText="1"/>
    </xf>
    <xf numFmtId="0" fontId="4" fillId="2" borderId="4" xfId="0" applyFont="1" applyFill="1" applyBorder="1" applyAlignment="1">
      <alignment horizontal="right" wrapText="1"/>
    </xf>
    <xf numFmtId="164" fontId="4" fillId="5" borderId="8" xfId="1" applyNumberFormat="1" applyFont="1" applyFill="1" applyBorder="1"/>
    <xf numFmtId="164" fontId="4" fillId="6" borderId="8" xfId="1" applyNumberFormat="1" applyFont="1" applyFill="1" applyBorder="1" applyAlignment="1">
      <alignment horizontal="right"/>
    </xf>
    <xf numFmtId="164" fontId="4" fillId="5" borderId="9" xfId="1" applyNumberFormat="1" applyFont="1" applyFill="1" applyBorder="1"/>
    <xf numFmtId="0" fontId="5" fillId="4" borderId="0" xfId="0" applyFont="1" applyFill="1" applyAlignment="1">
      <alignment vertical="center"/>
    </xf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5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16</xdr:col>
      <xdr:colOff>619125</xdr:colOff>
      <xdr:row>7</xdr:row>
      <xdr:rowOff>47626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C2C755A-3D11-407E-BE1B-D943BEA9C26C}"/>
            </a:ext>
          </a:extLst>
        </xdr:cNvPr>
        <xdr:cNvSpPr txBox="1"/>
      </xdr:nvSpPr>
      <xdr:spPr>
        <a:xfrm>
          <a:off x="609600" y="838200"/>
          <a:ext cx="9763125" cy="619126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latin typeface="+mn-lt"/>
            </a:rPr>
            <a:t>The following calculator</a:t>
          </a:r>
          <a:r>
            <a:rPr lang="en-GB" sz="1100" baseline="0">
              <a:latin typeface="+mn-lt"/>
            </a:rPr>
            <a:t> </a:t>
          </a:r>
          <a:r>
            <a:rPr lang="en-GB" sz="1100">
              <a:latin typeface="+mn-lt"/>
            </a:rPr>
            <a:t>illustrates an</a:t>
          </a:r>
          <a:r>
            <a:rPr lang="en-GB" sz="1100" baseline="0">
              <a:latin typeface="+mn-lt"/>
            </a:rPr>
            <a:t> </a:t>
          </a:r>
          <a:r>
            <a:rPr lang="en-GB" sz="1100">
              <a:latin typeface="+mn-lt"/>
            </a:rPr>
            <a:t>indicative monthly income that could be expected by a typical pharmacy in £pounds</a:t>
          </a:r>
          <a:r>
            <a:rPr lang="en-GB" sz="1100" baseline="0">
              <a:latin typeface="+mn-lt"/>
            </a:rPr>
            <a:t> for services provided under the Community Pharmacy Contractual Framework. These figures are based on the funding settlement for 2025/26</a:t>
          </a:r>
          <a:r>
            <a:rPr lang="en-GB" sz="1100">
              <a:latin typeface="+mn-lt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EC908-A1BD-4F8D-B10F-C89E589569B6}">
  <sheetPr>
    <tabColor theme="9" tint="0.79998168889431442"/>
  </sheetPr>
  <dimension ref="B3:Q30"/>
  <sheetViews>
    <sheetView tabSelected="1" workbookViewId="0">
      <selection activeCell="B31" sqref="B31"/>
    </sheetView>
  </sheetViews>
  <sheetFormatPr defaultColWidth="9.1796875" defaultRowHeight="14.5" x14ac:dyDescent="0.35"/>
  <cols>
    <col min="1" max="16" width="9.1796875" style="1"/>
    <col min="17" max="17" width="9.54296875" style="1" customWidth="1"/>
    <col min="18" max="16384" width="9.1796875" style="1"/>
  </cols>
  <sheetData>
    <row r="3" spans="2:17" ht="21" x14ac:dyDescent="0.35">
      <c r="B3" s="2" t="s">
        <v>38</v>
      </c>
    </row>
    <row r="9" spans="2:17" x14ac:dyDescent="0.3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2:17" x14ac:dyDescent="0.35">
      <c r="B10" s="3"/>
      <c r="C10" s="4" t="s">
        <v>0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2:17" x14ac:dyDescent="0.3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2:17" x14ac:dyDescent="0.35">
      <c r="B12" s="3"/>
      <c r="C12" s="3" t="s">
        <v>1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2:17" x14ac:dyDescent="0.3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2:17" x14ac:dyDescent="0.35">
      <c r="B14" s="3"/>
      <c r="C14" s="3" t="s">
        <v>2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2:17" x14ac:dyDescent="0.35">
      <c r="B15" s="3"/>
      <c r="C15" s="3" t="s">
        <v>3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2:17" x14ac:dyDescent="0.3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2:17" ht="15" customHeight="1" x14ac:dyDescent="0.35">
      <c r="B17" s="3"/>
      <c r="C17" s="3" t="s">
        <v>4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2:17" x14ac:dyDescent="0.3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2:17" x14ac:dyDescent="0.35">
      <c r="B19" s="3"/>
      <c r="C19" s="3" t="s">
        <v>5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2:17" x14ac:dyDescent="0.35">
      <c r="B20" s="3"/>
      <c r="C20" s="3" t="s">
        <v>6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2:17" x14ac:dyDescent="0.3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2:17" x14ac:dyDescent="0.35">
      <c r="B22" s="3"/>
      <c r="C22" s="3" t="s">
        <v>33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2:17" x14ac:dyDescent="0.3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2:17" x14ac:dyDescent="0.35">
      <c r="B24" s="3"/>
      <c r="C24" s="3" t="s">
        <v>31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2:17" x14ac:dyDescent="0.3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2:17" x14ac:dyDescent="0.35">
      <c r="B26" s="3"/>
      <c r="C26" s="3" t="s">
        <v>34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2:17" x14ac:dyDescent="0.3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30" spans="2:17" x14ac:dyDescent="0.35">
      <c r="B30" s="1" t="s">
        <v>56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1DE28-ECD1-4400-97E9-09C13A50533B}">
  <sheetPr>
    <tabColor theme="5" tint="0.59999389629810485"/>
  </sheetPr>
  <dimension ref="B2:O33"/>
  <sheetViews>
    <sheetView workbookViewId="0">
      <selection activeCell="F8" sqref="F8"/>
    </sheetView>
  </sheetViews>
  <sheetFormatPr defaultColWidth="9.1796875" defaultRowHeight="14.5" x14ac:dyDescent="0.35"/>
  <cols>
    <col min="1" max="1" width="9.1796875" style="1"/>
    <col min="2" max="2" width="36.26953125" style="1" customWidth="1"/>
    <col min="3" max="3" width="9.54296875" style="1" bestFit="1" customWidth="1"/>
    <col min="4" max="4" width="17.54296875" style="1" customWidth="1"/>
    <col min="5" max="5" width="1" style="1" customWidth="1"/>
    <col min="6" max="6" width="10.26953125" style="1" customWidth="1"/>
    <col min="7" max="7" width="19" style="1" customWidth="1"/>
    <col min="8" max="16384" width="9.1796875" style="1"/>
  </cols>
  <sheetData>
    <row r="2" spans="2:15" ht="21" x14ac:dyDescent="0.5">
      <c r="B2" s="13" t="s">
        <v>43</v>
      </c>
      <c r="C2" s="14"/>
      <c r="D2" s="14"/>
      <c r="E2" s="14"/>
      <c r="F2" s="14"/>
      <c r="G2" s="14"/>
    </row>
    <row r="3" spans="2:15" x14ac:dyDescent="0.35">
      <c r="B3" s="14" t="s">
        <v>51</v>
      </c>
      <c r="C3" s="14"/>
      <c r="D3" s="14"/>
      <c r="E3" s="14"/>
      <c r="F3" s="14"/>
      <c r="G3" s="14"/>
    </row>
    <row r="4" spans="2:15" x14ac:dyDescent="0.35">
      <c r="B4" s="14" t="s">
        <v>52</v>
      </c>
      <c r="C4" s="14"/>
      <c r="D4" s="14"/>
      <c r="E4" s="14"/>
      <c r="F4" s="14"/>
      <c r="G4" s="14"/>
    </row>
    <row r="5" spans="2:15" x14ac:dyDescent="0.35">
      <c r="B5" s="14" t="s">
        <v>53</v>
      </c>
      <c r="C5" s="14"/>
      <c r="D5" s="14"/>
      <c r="E5" s="14"/>
      <c r="F5" s="14"/>
      <c r="G5" s="14"/>
    </row>
    <row r="7" spans="2:15" ht="29.5" thickBot="1" x14ac:dyDescent="0.4">
      <c r="C7" s="19" t="s">
        <v>54</v>
      </c>
      <c r="D7" s="18" t="s">
        <v>41</v>
      </c>
      <c r="E7" s="21"/>
      <c r="F7" s="19" t="s">
        <v>55</v>
      </c>
      <c r="G7" s="22" t="s">
        <v>42</v>
      </c>
    </row>
    <row r="8" spans="2:15" ht="15.75" customHeight="1" thickBot="1" x14ac:dyDescent="0.4">
      <c r="B8" s="9" t="s">
        <v>13</v>
      </c>
      <c r="C8" s="15">
        <v>9687</v>
      </c>
      <c r="D8" s="11"/>
      <c r="E8" s="20"/>
      <c r="F8" s="23">
        <v>8852</v>
      </c>
      <c r="G8" s="11"/>
    </row>
    <row r="9" spans="2:15" ht="15.75" customHeight="1" thickBot="1" x14ac:dyDescent="0.4">
      <c r="B9" s="9" t="s">
        <v>29</v>
      </c>
      <c r="C9" s="17"/>
      <c r="D9" s="11">
        <f>C8*1.46</f>
        <v>14143.02</v>
      </c>
      <c r="E9" s="20"/>
      <c r="F9" s="24"/>
      <c r="G9" s="11">
        <f>F8*1.27</f>
        <v>11242.04</v>
      </c>
      <c r="J9" s="26" t="s">
        <v>44</v>
      </c>
      <c r="K9" s="27"/>
      <c r="L9" s="27"/>
      <c r="M9" s="27"/>
      <c r="N9" s="27"/>
      <c r="O9" s="27"/>
    </row>
    <row r="10" spans="2:15" ht="15.75" customHeight="1" thickBot="1" x14ac:dyDescent="0.4">
      <c r="B10" s="9" t="s">
        <v>30</v>
      </c>
      <c r="C10" s="17"/>
      <c r="D10" s="11">
        <f>106.54/1209*C8</f>
        <v>853.64183622828784</v>
      </c>
      <c r="E10" s="20"/>
      <c r="F10" s="24"/>
      <c r="G10" s="11">
        <f>100.45/1126*F8</f>
        <v>789.68330373001777</v>
      </c>
      <c r="J10" s="27"/>
      <c r="K10" s="27"/>
      <c r="L10" s="27"/>
      <c r="M10" s="27"/>
      <c r="N10" s="27"/>
      <c r="O10" s="27"/>
    </row>
    <row r="11" spans="2:15" ht="15.75" customHeight="1" thickBot="1" x14ac:dyDescent="0.55000000000000004">
      <c r="B11" s="9" t="s">
        <v>28</v>
      </c>
      <c r="C11" s="17"/>
      <c r="D11" s="11">
        <f>900/1209*C8</f>
        <v>7211.1662531017373</v>
      </c>
      <c r="E11" s="20"/>
      <c r="F11" s="24"/>
      <c r="G11" s="11">
        <f>800/1126*F8</f>
        <v>6289.165186500888</v>
      </c>
      <c r="J11" s="14" t="s">
        <v>57</v>
      </c>
      <c r="K11" s="13"/>
      <c r="L11" s="13"/>
      <c r="M11" s="13"/>
      <c r="N11" s="13"/>
      <c r="O11" s="13"/>
    </row>
    <row r="12" spans="2:15" ht="15.75" customHeight="1" thickBot="1" x14ac:dyDescent="0.4">
      <c r="B12" s="9" t="s">
        <v>20</v>
      </c>
      <c r="C12" s="15">
        <v>65</v>
      </c>
      <c r="D12" s="11">
        <f>C12*14</f>
        <v>910</v>
      </c>
      <c r="E12" s="20"/>
      <c r="F12" s="23">
        <v>32</v>
      </c>
      <c r="G12" s="11">
        <f>F12*28</f>
        <v>896</v>
      </c>
      <c r="J12" s="14" t="s">
        <v>45</v>
      </c>
      <c r="K12" s="14"/>
      <c r="L12" s="14"/>
      <c r="M12" s="14"/>
      <c r="N12" s="14"/>
      <c r="O12" s="14"/>
    </row>
    <row r="13" spans="2:15" ht="15.75" customHeight="1" thickBot="1" x14ac:dyDescent="0.4">
      <c r="B13" s="9" t="s">
        <v>21</v>
      </c>
      <c r="C13" s="15">
        <v>42</v>
      </c>
      <c r="D13" s="11">
        <f>C13*14</f>
        <v>588</v>
      </c>
      <c r="E13" s="20"/>
      <c r="F13" s="23"/>
      <c r="G13" s="11"/>
      <c r="J13" s="14" t="s">
        <v>46</v>
      </c>
      <c r="K13" s="14"/>
      <c r="L13" s="14"/>
      <c r="M13" s="14"/>
      <c r="N13" s="14"/>
      <c r="O13" s="14"/>
    </row>
    <row r="14" spans="2:15" ht="15.75" customHeight="1" thickBot="1" x14ac:dyDescent="0.4">
      <c r="B14" s="9" t="s">
        <v>35</v>
      </c>
      <c r="C14" s="15">
        <v>30</v>
      </c>
      <c r="D14" s="11">
        <f>C14*10</f>
        <v>300</v>
      </c>
      <c r="E14" s="20"/>
      <c r="F14" s="23">
        <v>13</v>
      </c>
      <c r="G14" s="11">
        <f>F14*15</f>
        <v>195</v>
      </c>
      <c r="J14" s="14" t="s">
        <v>48</v>
      </c>
      <c r="K14" s="14"/>
      <c r="L14" s="14"/>
      <c r="M14" s="14"/>
      <c r="N14" s="14"/>
      <c r="O14" s="14"/>
    </row>
    <row r="15" spans="2:15" ht="15" thickBot="1" x14ac:dyDescent="0.4">
      <c r="B15" s="9" t="s">
        <v>14</v>
      </c>
      <c r="C15" s="15">
        <v>2</v>
      </c>
      <c r="D15" s="11">
        <f>C15*50.85</f>
        <v>101.7</v>
      </c>
      <c r="E15" s="20"/>
      <c r="F15" s="23">
        <v>1</v>
      </c>
      <c r="G15" s="11">
        <f>F15*45</f>
        <v>45</v>
      </c>
      <c r="J15" s="14" t="s">
        <v>49</v>
      </c>
      <c r="K15" s="14"/>
      <c r="L15" s="14"/>
      <c r="M15" s="14"/>
      <c r="N15" s="14"/>
      <c r="O15" s="14"/>
    </row>
    <row r="16" spans="2:15" ht="15" thickBot="1" x14ac:dyDescent="0.4">
      <c r="B16" s="9" t="s">
        <v>15</v>
      </c>
      <c r="C16" s="15">
        <v>4</v>
      </c>
      <c r="D16" s="11">
        <f>C16*25</f>
        <v>100</v>
      </c>
      <c r="E16" s="20"/>
      <c r="F16" s="23">
        <v>1</v>
      </c>
      <c r="G16" s="11">
        <f>F16*18</f>
        <v>18</v>
      </c>
      <c r="J16" s="14" t="s">
        <v>50</v>
      </c>
      <c r="K16" s="14"/>
      <c r="L16" s="14"/>
      <c r="M16" s="14"/>
      <c r="N16" s="14"/>
      <c r="O16" s="14"/>
    </row>
    <row r="17" spans="2:15" ht="15" thickBot="1" x14ac:dyDescent="0.4">
      <c r="B17" s="9" t="s">
        <v>16</v>
      </c>
      <c r="C17" s="15">
        <v>1</v>
      </c>
      <c r="D17" s="11">
        <f>C17*25</f>
        <v>25</v>
      </c>
      <c r="E17" s="20"/>
      <c r="F17" s="23"/>
      <c r="G17" s="11">
        <f>F17*18</f>
        <v>0</v>
      </c>
      <c r="J17" s="14" t="s">
        <v>47</v>
      </c>
      <c r="K17" s="14"/>
      <c r="L17" s="14"/>
      <c r="M17" s="14"/>
      <c r="N17" s="14"/>
      <c r="O17" s="14"/>
    </row>
    <row r="18" spans="2:15" ht="15" thickBot="1" x14ac:dyDescent="0.4">
      <c r="B18" s="9" t="s">
        <v>32</v>
      </c>
      <c r="C18" s="15">
        <v>1</v>
      </c>
      <c r="D18" s="11">
        <f>C18*20</f>
        <v>20</v>
      </c>
      <c r="E18" s="20"/>
      <c r="F18" s="23"/>
      <c r="G18" s="11"/>
    </row>
    <row r="19" spans="2:15" ht="15" thickBot="1" x14ac:dyDescent="0.4">
      <c r="B19" s="9" t="s">
        <v>17</v>
      </c>
      <c r="C19" s="15">
        <v>14</v>
      </c>
      <c r="D19" s="11">
        <f>C19*15</f>
        <v>210</v>
      </c>
      <c r="E19" s="20"/>
      <c r="F19" s="23">
        <v>8</v>
      </c>
      <c r="G19" s="11">
        <f>F19*15</f>
        <v>120</v>
      </c>
    </row>
    <row r="20" spans="2:15" ht="15" thickBot="1" x14ac:dyDescent="0.4">
      <c r="B20" s="9" t="s">
        <v>18</v>
      </c>
      <c r="C20" s="15">
        <v>15</v>
      </c>
      <c r="D20" s="11">
        <f>C20*17</f>
        <v>255</v>
      </c>
      <c r="E20" s="20"/>
      <c r="F20" s="23">
        <v>8</v>
      </c>
      <c r="G20" s="11">
        <f>F20*15</f>
        <v>120</v>
      </c>
    </row>
    <row r="21" spans="2:15" ht="15" thickBot="1" x14ac:dyDescent="0.4">
      <c r="B21" s="9" t="s">
        <v>19</v>
      </c>
      <c r="C21" s="15">
        <v>33</v>
      </c>
      <c r="D21" s="11">
        <f>C21*17</f>
        <v>561</v>
      </c>
      <c r="E21" s="20"/>
      <c r="F21" s="23"/>
      <c r="G21" s="11"/>
    </row>
    <row r="22" spans="2:15" ht="15" thickBot="1" x14ac:dyDescent="0.4">
      <c r="B22" s="9" t="s">
        <v>27</v>
      </c>
      <c r="C22" s="17"/>
      <c r="D22" s="11">
        <f>IF(C21&gt;=30,1000,IF(C21&gt;=20,500,0))</f>
        <v>1000</v>
      </c>
      <c r="E22" s="20"/>
      <c r="F22" s="24"/>
      <c r="G22" s="11"/>
    </row>
    <row r="23" spans="2:15" ht="15" thickBot="1" x14ac:dyDescent="0.4">
      <c r="B23" s="9" t="s">
        <v>22</v>
      </c>
      <c r="C23" s="15">
        <v>2</v>
      </c>
      <c r="D23" s="11">
        <f>C23*35</f>
        <v>70</v>
      </c>
      <c r="E23" s="20"/>
      <c r="F23" s="23">
        <v>1</v>
      </c>
      <c r="G23" s="11">
        <f>F23*35</f>
        <v>35</v>
      </c>
    </row>
    <row r="24" spans="2:15" ht="15" thickBot="1" x14ac:dyDescent="0.4">
      <c r="B24" s="9" t="s">
        <v>23</v>
      </c>
      <c r="C24" s="15">
        <v>0</v>
      </c>
      <c r="D24" s="11">
        <f>C24*28</f>
        <v>0</v>
      </c>
      <c r="E24" s="20"/>
      <c r="F24" s="23"/>
      <c r="G24" s="11">
        <f>F24*28</f>
        <v>0</v>
      </c>
    </row>
    <row r="25" spans="2:15" ht="15" thickBot="1" x14ac:dyDescent="0.4">
      <c r="B25" s="9" t="s">
        <v>24</v>
      </c>
      <c r="C25" s="15">
        <v>0</v>
      </c>
      <c r="D25" s="11">
        <f>C25*4.32</f>
        <v>0</v>
      </c>
      <c r="E25" s="20"/>
      <c r="F25" s="23"/>
      <c r="G25" s="11">
        <f>F25*4.32</f>
        <v>0</v>
      </c>
    </row>
    <row r="26" spans="2:15" ht="15" thickBot="1" x14ac:dyDescent="0.4">
      <c r="B26" s="9" t="s">
        <v>25</v>
      </c>
      <c r="C26" s="16">
        <v>0</v>
      </c>
      <c r="D26" s="11">
        <f>C26*97.85</f>
        <v>0</v>
      </c>
      <c r="E26" s="20"/>
      <c r="F26" s="25"/>
      <c r="G26" s="11">
        <f>F26*97.85</f>
        <v>0</v>
      </c>
    </row>
    <row r="28" spans="2:15" x14ac:dyDescent="0.35">
      <c r="C28" s="10" t="s">
        <v>26</v>
      </c>
      <c r="D28" s="12">
        <f>SUM(D9:D27)</f>
        <v>26348.528089330026</v>
      </c>
      <c r="E28" s="20"/>
      <c r="F28" s="10" t="s">
        <v>26</v>
      </c>
      <c r="G28" s="12">
        <f>SUM(G9:G27)</f>
        <v>19749.888490230907</v>
      </c>
    </row>
    <row r="30" spans="2:15" ht="21" x14ac:dyDescent="0.5">
      <c r="B30" s="13" t="s">
        <v>36</v>
      </c>
      <c r="C30" s="14"/>
      <c r="D30" s="14"/>
      <c r="E30" s="14"/>
      <c r="F30" s="14"/>
      <c r="G30" s="14"/>
    </row>
    <row r="31" spans="2:15" x14ac:dyDescent="0.35">
      <c r="B31" s="14" t="s">
        <v>39</v>
      </c>
      <c r="C31" s="14"/>
      <c r="D31" s="14"/>
      <c r="E31" s="14"/>
      <c r="F31" s="14"/>
      <c r="G31" s="14"/>
    </row>
    <row r="32" spans="2:15" x14ac:dyDescent="0.35">
      <c r="B32" s="14" t="s">
        <v>37</v>
      </c>
      <c r="C32" s="14"/>
      <c r="D32" s="14"/>
      <c r="E32" s="14"/>
      <c r="F32" s="14"/>
      <c r="G32" s="14"/>
    </row>
    <row r="33" spans="2:7" x14ac:dyDescent="0.35">
      <c r="B33" s="14" t="s">
        <v>40</v>
      </c>
      <c r="C33" s="14"/>
      <c r="D33" s="14"/>
      <c r="E33" s="14"/>
      <c r="F33" s="14"/>
      <c r="G33" s="14"/>
    </row>
  </sheetData>
  <mergeCells count="1">
    <mergeCell ref="J9:O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9C555-7C98-44CA-ABB8-502197FE7328}">
  <dimension ref="C6:H15"/>
  <sheetViews>
    <sheetView workbookViewId="0"/>
  </sheetViews>
  <sheetFormatPr defaultColWidth="9.1796875" defaultRowHeight="14.5" x14ac:dyDescent="0.35"/>
  <cols>
    <col min="1" max="6" width="9.1796875" style="1"/>
    <col min="7" max="7" width="14.81640625" style="1" bestFit="1" customWidth="1"/>
    <col min="8" max="8" width="9.54296875" style="1" bestFit="1" customWidth="1"/>
    <col min="9" max="16384" width="9.1796875" style="1"/>
  </cols>
  <sheetData>
    <row r="6" spans="3:8" x14ac:dyDescent="0.35">
      <c r="F6" s="7">
        <v>76.900000000000006</v>
      </c>
      <c r="G6" s="1" t="s">
        <v>12</v>
      </c>
    </row>
    <row r="9" spans="3:8" x14ac:dyDescent="0.35">
      <c r="C9" s="5" t="s">
        <v>7</v>
      </c>
      <c r="D9" s="5" t="s">
        <v>8</v>
      </c>
      <c r="F9" s="5" t="s">
        <v>9</v>
      </c>
      <c r="G9" s="5" t="s">
        <v>10</v>
      </c>
      <c r="H9" s="5" t="s">
        <v>11</v>
      </c>
    </row>
    <row r="10" spans="3:8" x14ac:dyDescent="0.35">
      <c r="C10" s="1">
        <v>0</v>
      </c>
      <c r="D10" s="1">
        <v>100</v>
      </c>
      <c r="F10" s="8">
        <v>3</v>
      </c>
      <c r="G10" s="6">
        <f>F10*$F$6</f>
        <v>230.70000000000002</v>
      </c>
      <c r="H10" s="6">
        <f t="shared" ref="H10:H15" si="0">G10/12</f>
        <v>19.225000000000001</v>
      </c>
    </row>
    <row r="11" spans="3:8" x14ac:dyDescent="0.35">
      <c r="C11" s="1">
        <v>101</v>
      </c>
      <c r="D11" s="1">
        <v>2500</v>
      </c>
      <c r="F11" s="8">
        <v>34.446666666666665</v>
      </c>
      <c r="G11" s="6">
        <f t="shared" ref="G11:G15" si="1">F11*$F$6</f>
        <v>2648.9486666666667</v>
      </c>
      <c r="H11" s="6">
        <f t="shared" si="0"/>
        <v>220.74572222222221</v>
      </c>
    </row>
    <row r="12" spans="3:8" x14ac:dyDescent="0.35">
      <c r="C12" s="1">
        <v>2501</v>
      </c>
      <c r="D12" s="1">
        <v>5000</v>
      </c>
      <c r="F12" s="8">
        <v>37.22</v>
      </c>
      <c r="G12" s="6">
        <f t="shared" si="1"/>
        <v>2862.2180000000003</v>
      </c>
      <c r="H12" s="6">
        <f t="shared" si="0"/>
        <v>238.5181666666667</v>
      </c>
    </row>
    <row r="13" spans="3:8" x14ac:dyDescent="0.35">
      <c r="C13" s="1">
        <v>5001</v>
      </c>
      <c r="D13" s="1">
        <v>12500</v>
      </c>
      <c r="F13" s="8">
        <v>40</v>
      </c>
      <c r="G13" s="6">
        <f t="shared" si="1"/>
        <v>3076</v>
      </c>
      <c r="H13" s="6">
        <f t="shared" si="0"/>
        <v>256.33333333333331</v>
      </c>
    </row>
    <row r="14" spans="3:8" x14ac:dyDescent="0.35">
      <c r="C14" s="1">
        <v>12501</v>
      </c>
      <c r="D14" s="1">
        <v>19167</v>
      </c>
      <c r="F14" s="8">
        <v>42.78</v>
      </c>
      <c r="G14" s="6">
        <f t="shared" si="1"/>
        <v>3289.7820000000002</v>
      </c>
      <c r="H14" s="6">
        <f t="shared" si="0"/>
        <v>274.14850000000001</v>
      </c>
    </row>
    <row r="15" spans="3:8" x14ac:dyDescent="0.35">
      <c r="C15" s="1">
        <v>19168</v>
      </c>
      <c r="F15" s="8">
        <v>45.553333333333327</v>
      </c>
      <c r="G15" s="6">
        <f t="shared" si="1"/>
        <v>3503.0513333333333</v>
      </c>
      <c r="H15" s="6">
        <f t="shared" si="0"/>
        <v>291.92094444444444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Pharmacy calculator</vt:lpstr>
      <vt:lpstr>PQS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jcresswell</dc:creator>
  <cp:lastModifiedBy>Melinda Mabbutt</cp:lastModifiedBy>
  <dcterms:created xsi:type="dcterms:W3CDTF">2020-04-01T11:30:32Z</dcterms:created>
  <dcterms:modified xsi:type="dcterms:W3CDTF">2025-04-09T15:37:18Z</dcterms:modified>
</cp:coreProperties>
</file>