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codeName="ThisWorkbook"/>
  <mc:AlternateContent xmlns:mc="http://schemas.openxmlformats.org/markup-compatibility/2006">
    <mc:Choice Requires="x15">
      <x15ac:absPath xmlns:x15ac="http://schemas.microsoft.com/office/spreadsheetml/2010/11/ac" url="C:\Users\mdigby\AppData\Local\Packages\Microsoft.MicrosoftEdge_8wekyb3d8bbwe\TempState\Downloads\"/>
    </mc:Choice>
  </mc:AlternateContent>
  <xr:revisionPtr revIDLastSave="0" documentId="8_{56764082-5277-4E87-90AB-97E2C945FB28}" xr6:coauthVersionLast="32" xr6:coauthVersionMax="32" xr10:uidLastSave="{00000000-0000-0000-0000-000000000000}"/>
  <bookViews>
    <workbookView xWindow="0" yWindow="0" windowWidth="28800" windowHeight="13275" xr2:uid="{00000000-000D-0000-FFFF-FFFF00000000}"/>
  </bookViews>
  <sheets>
    <sheet name="Introduction" sheetId="3" r:id="rId1"/>
    <sheet name="Cashflow" sheetId="4" r:id="rId2"/>
    <sheet name="Indicative Income Tables" sheetId="5" r:id="rId3"/>
  </sheets>
  <externalReferences>
    <externalReference r:id="rId4"/>
  </externalReferences>
  <definedNames>
    <definedName name="Accruals">[1]Forecast!$E:$E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5" l="1"/>
  <c r="T6" i="5"/>
  <c r="T7" i="5"/>
  <c r="T8" i="5"/>
  <c r="T9" i="5"/>
  <c r="T10" i="5"/>
  <c r="T11" i="5"/>
  <c r="T12" i="5"/>
  <c r="T13" i="5"/>
  <c r="T14" i="5"/>
  <c r="T15" i="5"/>
  <c r="T16" i="5"/>
  <c r="T17" i="5"/>
  <c r="T18" i="5"/>
  <c r="T4" i="5"/>
  <c r="U24" i="5"/>
  <c r="V24" i="5" s="1"/>
  <c r="U25" i="5"/>
  <c r="V25" i="5" s="1"/>
  <c r="U26" i="5"/>
  <c r="U27" i="5"/>
  <c r="V27" i="5" s="1"/>
  <c r="U28" i="5"/>
  <c r="V28" i="5" s="1"/>
  <c r="U29" i="5"/>
  <c r="V29" i="5" s="1"/>
  <c r="U30" i="5"/>
  <c r="U31" i="5"/>
  <c r="V31" i="5" s="1"/>
  <c r="U32" i="5"/>
  <c r="V32" i="5" s="1"/>
  <c r="U33" i="5"/>
  <c r="V33" i="5" s="1"/>
  <c r="U34" i="5"/>
  <c r="U35" i="5"/>
  <c r="V35" i="5" s="1"/>
  <c r="U36" i="5"/>
  <c r="V36" i="5" s="1"/>
  <c r="U37" i="5"/>
  <c r="V37" i="5" s="1"/>
  <c r="U23" i="5"/>
  <c r="V23" i="5" s="1"/>
  <c r="T37" i="5"/>
  <c r="T36" i="5"/>
  <c r="T35" i="5"/>
  <c r="T34" i="5"/>
  <c r="T33" i="5"/>
  <c r="T32" i="5"/>
  <c r="T31" i="5"/>
  <c r="T30" i="5"/>
  <c r="T29" i="5"/>
  <c r="T28" i="5"/>
  <c r="T27" i="5"/>
  <c r="T26" i="5"/>
  <c r="T25" i="5"/>
  <c r="T24" i="5"/>
  <c r="T23" i="5"/>
  <c r="S24" i="5"/>
  <c r="S25" i="5"/>
  <c r="S26" i="5"/>
  <c r="V26" i="5" s="1"/>
  <c r="S27" i="5"/>
  <c r="S28" i="5"/>
  <c r="S29" i="5"/>
  <c r="S30" i="5"/>
  <c r="V30" i="5" s="1"/>
  <c r="S31" i="5"/>
  <c r="S32" i="5"/>
  <c r="S33" i="5"/>
  <c r="S34" i="5"/>
  <c r="V34" i="5" s="1"/>
  <c r="S35" i="5"/>
  <c r="S36" i="5"/>
  <c r="S37" i="5"/>
  <c r="S23" i="5"/>
  <c r="W30" i="5" l="1"/>
  <c r="S11" i="5"/>
  <c r="W36" i="5"/>
  <c r="S17" i="5"/>
  <c r="U17" i="5" s="1"/>
  <c r="V17" i="5" s="1"/>
  <c r="W24" i="5"/>
  <c r="S5" i="5"/>
  <c r="U5" i="5" s="1"/>
  <c r="V5" i="5" s="1"/>
  <c r="W31" i="5"/>
  <c r="S12" i="5"/>
  <c r="W27" i="5"/>
  <c r="S8" i="5"/>
  <c r="U4" i="5"/>
  <c r="V4" i="5" s="1"/>
  <c r="U11" i="5"/>
  <c r="V11" i="5" s="1"/>
  <c r="U7" i="5"/>
  <c r="V7" i="5" s="1"/>
  <c r="W26" i="5"/>
  <c r="S7" i="5"/>
  <c r="W28" i="5"/>
  <c r="S9" i="5"/>
  <c r="U9" i="5" s="1"/>
  <c r="V9" i="5" s="1"/>
  <c r="U8" i="5"/>
  <c r="V8" i="5" s="1"/>
  <c r="W23" i="5"/>
  <c r="S4" i="5"/>
  <c r="U14" i="5"/>
  <c r="V14" i="5" s="1"/>
  <c r="U6" i="5"/>
  <c r="V6" i="5" s="1"/>
  <c r="W34" i="5"/>
  <c r="S15" i="5"/>
  <c r="U15" i="5" s="1"/>
  <c r="V15" i="5" s="1"/>
  <c r="W32" i="5"/>
  <c r="S13" i="5"/>
  <c r="U13" i="5" s="1"/>
  <c r="V13" i="5" s="1"/>
  <c r="U12" i="5"/>
  <c r="V12" i="5" s="1"/>
  <c r="W35" i="5"/>
  <c r="S16" i="5"/>
  <c r="U16" i="5" s="1"/>
  <c r="V16" i="5" s="1"/>
  <c r="W37" i="5"/>
  <c r="S18" i="5"/>
  <c r="U18" i="5" s="1"/>
  <c r="V18" i="5" s="1"/>
  <c r="W33" i="5"/>
  <c r="S14" i="5"/>
  <c r="W29" i="5"/>
  <c r="S10" i="5"/>
  <c r="U10" i="5" s="1"/>
  <c r="V10" i="5" s="1"/>
  <c r="W25" i="5"/>
  <c r="S6" i="5"/>
  <c r="AK29" i="4" l="1"/>
  <c r="AW80" i="4"/>
  <c r="AW72" i="4"/>
  <c r="AW78" i="4"/>
  <c r="M24" i="5" l="1"/>
  <c r="M25" i="5"/>
  <c r="M26" i="5"/>
  <c r="M27" i="5"/>
  <c r="M28" i="5"/>
  <c r="M29" i="5"/>
  <c r="M30" i="5"/>
  <c r="M31" i="5"/>
  <c r="M32" i="5"/>
  <c r="M33" i="5"/>
  <c r="M34" i="5"/>
  <c r="M35" i="5"/>
  <c r="M36" i="5"/>
  <c r="M37" i="5"/>
  <c r="M23" i="5"/>
  <c r="L24" i="5"/>
  <c r="L25" i="5"/>
  <c r="L26" i="5"/>
  <c r="L27" i="5"/>
  <c r="L28" i="5"/>
  <c r="L29" i="5"/>
  <c r="L30" i="5"/>
  <c r="L31" i="5"/>
  <c r="L32" i="5"/>
  <c r="L33" i="5"/>
  <c r="L34" i="5"/>
  <c r="L35" i="5"/>
  <c r="L36" i="5"/>
  <c r="L37" i="5"/>
  <c r="L23" i="5"/>
  <c r="D24" i="5"/>
  <c r="D25" i="5"/>
  <c r="D26" i="5"/>
  <c r="D27" i="5"/>
  <c r="D28" i="5"/>
  <c r="D29" i="5"/>
  <c r="D30" i="5"/>
  <c r="D31" i="5"/>
  <c r="D32" i="5"/>
  <c r="D33" i="5"/>
  <c r="D34" i="5"/>
  <c r="D35" i="5"/>
  <c r="D36" i="5"/>
  <c r="D37" i="5"/>
  <c r="D23" i="5"/>
  <c r="C24" i="5"/>
  <c r="C25" i="5"/>
  <c r="C26" i="5"/>
  <c r="C27" i="5"/>
  <c r="C28" i="5"/>
  <c r="C29" i="5"/>
  <c r="C30" i="5"/>
  <c r="C31" i="5"/>
  <c r="C32" i="5"/>
  <c r="C33" i="5"/>
  <c r="C34" i="5"/>
  <c r="C35" i="5"/>
  <c r="C36" i="5"/>
  <c r="C37" i="5"/>
  <c r="C23" i="5"/>
  <c r="AD29" i="4" l="1"/>
  <c r="AW85" i="4" l="1"/>
  <c r="W29" i="4" l="1"/>
  <c r="E16" i="4" l="1"/>
  <c r="AW93" i="4"/>
  <c r="AW92" i="4"/>
  <c r="AW91" i="4"/>
  <c r="AW70" i="4"/>
  <c r="AW65" i="4"/>
  <c r="AW62" i="4"/>
  <c r="AV54" i="4"/>
  <c r="AV53" i="4"/>
  <c r="AV52" i="4"/>
  <c r="AW46" i="4"/>
  <c r="AW45" i="4"/>
  <c r="AW44" i="4"/>
  <c r="AW38" i="4"/>
  <c r="AW37" i="4"/>
  <c r="AW36" i="4"/>
  <c r="AW30" i="4"/>
  <c r="AW29" i="4"/>
  <c r="AW28" i="4"/>
  <c r="F21" i="4"/>
  <c r="F39" i="4" s="1"/>
  <c r="E21" i="4"/>
  <c r="E39" i="4" s="1"/>
  <c r="G19" i="4"/>
  <c r="N26" i="5" l="1"/>
  <c r="O26" i="5" s="1"/>
  <c r="N30" i="5"/>
  <c r="O30" i="5" s="1"/>
  <c r="N34" i="5"/>
  <c r="O34" i="5" s="1"/>
  <c r="N23" i="5"/>
  <c r="O23" i="5" s="1"/>
  <c r="N33" i="5"/>
  <c r="O33" i="5" s="1"/>
  <c r="N27" i="5"/>
  <c r="O27" i="5" s="1"/>
  <c r="N31" i="5"/>
  <c r="O31" i="5" s="1"/>
  <c r="N35" i="5"/>
  <c r="O35" i="5" s="1"/>
  <c r="N25" i="5"/>
  <c r="O25" i="5" s="1"/>
  <c r="N37" i="5"/>
  <c r="O37" i="5" s="1"/>
  <c r="N24" i="5"/>
  <c r="O24" i="5" s="1"/>
  <c r="N28" i="5"/>
  <c r="O28" i="5" s="1"/>
  <c r="N32" i="5"/>
  <c r="O32" i="5" s="1"/>
  <c r="N36" i="5"/>
  <c r="O36" i="5" s="1"/>
  <c r="N29" i="5"/>
  <c r="O29" i="5" s="1"/>
  <c r="M7" i="5"/>
  <c r="M11" i="5"/>
  <c r="M15" i="5"/>
  <c r="M4" i="5"/>
  <c r="M14" i="5"/>
  <c r="M8" i="5"/>
  <c r="M12" i="5"/>
  <c r="M16" i="5"/>
  <c r="M10" i="5"/>
  <c r="M5" i="5"/>
  <c r="M9" i="5"/>
  <c r="M13" i="5"/>
  <c r="M17" i="5"/>
  <c r="M6" i="5"/>
  <c r="M18" i="5"/>
  <c r="E25" i="5"/>
  <c r="F25" i="5" s="1"/>
  <c r="E29" i="5"/>
  <c r="F29" i="5" s="1"/>
  <c r="E33" i="5"/>
  <c r="F33" i="5" s="1"/>
  <c r="E37" i="5"/>
  <c r="F37" i="5" s="1"/>
  <c r="E28" i="5"/>
  <c r="F28" i="5" s="1"/>
  <c r="E36" i="5"/>
  <c r="F36" i="5" s="1"/>
  <c r="E26" i="5"/>
  <c r="F26" i="5" s="1"/>
  <c r="E30" i="5"/>
  <c r="F30" i="5" s="1"/>
  <c r="E34" i="5"/>
  <c r="F34" i="5" s="1"/>
  <c r="E23" i="5"/>
  <c r="F23" i="5" s="1"/>
  <c r="E32" i="5"/>
  <c r="F32" i="5" s="1"/>
  <c r="E27" i="5"/>
  <c r="F27" i="5" s="1"/>
  <c r="E31" i="5"/>
  <c r="F31" i="5" s="1"/>
  <c r="E35" i="5"/>
  <c r="F35" i="5" s="1"/>
  <c r="E24" i="5"/>
  <c r="F24" i="5" s="1"/>
  <c r="D6" i="5"/>
  <c r="D10" i="5"/>
  <c r="D14" i="5"/>
  <c r="D18" i="5"/>
  <c r="D13" i="5"/>
  <c r="D7" i="5"/>
  <c r="D11" i="5"/>
  <c r="D15" i="5"/>
  <c r="D4" i="5"/>
  <c r="D5" i="5"/>
  <c r="D17" i="5"/>
  <c r="D8" i="5"/>
  <c r="D12" i="5"/>
  <c r="D16" i="5"/>
  <c r="D9" i="5"/>
  <c r="H32" i="4"/>
  <c r="F16" i="4"/>
  <c r="G17" i="4" s="1"/>
  <c r="H20" i="4"/>
  <c r="H25" i="4"/>
  <c r="F17" i="4"/>
  <c r="G18" i="4"/>
  <c r="G21" i="4" s="1"/>
  <c r="G39" i="4" s="1"/>
  <c r="H27" i="4"/>
  <c r="H24" i="4"/>
  <c r="H26" i="4"/>
  <c r="P29" i="5" l="1"/>
  <c r="L10" i="5"/>
  <c r="N10" i="5" s="1"/>
  <c r="O10" i="5" s="1"/>
  <c r="L12" i="5"/>
  <c r="N12" i="5" s="1"/>
  <c r="O12" i="5" s="1"/>
  <c r="P31" i="5"/>
  <c r="P36" i="5"/>
  <c r="L17" i="5"/>
  <c r="N17" i="5" s="1"/>
  <c r="O17" i="5" s="1"/>
  <c r="P37" i="5"/>
  <c r="L18" i="5"/>
  <c r="N18" i="5" s="1"/>
  <c r="O18" i="5" s="1"/>
  <c r="L8" i="5"/>
  <c r="N8" i="5" s="1"/>
  <c r="O8" i="5" s="1"/>
  <c r="P27" i="5"/>
  <c r="L11" i="5"/>
  <c r="N11" i="5" s="1"/>
  <c r="O11" i="5" s="1"/>
  <c r="P30" i="5"/>
  <c r="P28" i="5"/>
  <c r="L9" i="5"/>
  <c r="N9" i="5" s="1"/>
  <c r="O9" i="5" s="1"/>
  <c r="L16" i="5"/>
  <c r="N16" i="5" s="1"/>
  <c r="O16" i="5" s="1"/>
  <c r="P35" i="5"/>
  <c r="L4" i="5"/>
  <c r="N4" i="5" s="1"/>
  <c r="O4" i="5" s="1"/>
  <c r="P23" i="5"/>
  <c r="P24" i="5"/>
  <c r="L5" i="5"/>
  <c r="N5" i="5" s="1"/>
  <c r="O5" i="5" s="1"/>
  <c r="P34" i="5"/>
  <c r="L15" i="5"/>
  <c r="N15" i="5" s="1"/>
  <c r="O15" i="5" s="1"/>
  <c r="P32" i="5"/>
  <c r="L13" i="5"/>
  <c r="N13" i="5" s="1"/>
  <c r="O13" i="5" s="1"/>
  <c r="P25" i="5"/>
  <c r="L6" i="5"/>
  <c r="N6" i="5" s="1"/>
  <c r="O6" i="5" s="1"/>
  <c r="P33" i="5"/>
  <c r="L14" i="5"/>
  <c r="N14" i="5" s="1"/>
  <c r="O14" i="5" s="1"/>
  <c r="L7" i="5"/>
  <c r="N7" i="5" s="1"/>
  <c r="O7" i="5" s="1"/>
  <c r="P26" i="5"/>
  <c r="G31" i="5"/>
  <c r="C12" i="5"/>
  <c r="E12" i="5" s="1"/>
  <c r="F12" i="5" s="1"/>
  <c r="G27" i="5"/>
  <c r="C8" i="5"/>
  <c r="E8" i="5" s="1"/>
  <c r="F8" i="5" s="1"/>
  <c r="C15" i="5"/>
  <c r="G34" i="5"/>
  <c r="G36" i="5"/>
  <c r="C17" i="5"/>
  <c r="E17" i="5" s="1"/>
  <c r="F17" i="5" s="1"/>
  <c r="C10" i="5"/>
  <c r="E10" i="5" s="1"/>
  <c r="F10" i="5" s="1"/>
  <c r="G29" i="5"/>
  <c r="G33" i="5"/>
  <c r="C14" i="5"/>
  <c r="E15" i="5"/>
  <c r="F15" i="5" s="1"/>
  <c r="G24" i="5"/>
  <c r="C5" i="5"/>
  <c r="E5" i="5" s="1"/>
  <c r="F5" i="5" s="1"/>
  <c r="C11" i="5"/>
  <c r="E11" i="5" s="1"/>
  <c r="F11" i="5" s="1"/>
  <c r="G30" i="5"/>
  <c r="G28" i="5"/>
  <c r="C9" i="5"/>
  <c r="E9" i="5" s="1"/>
  <c r="F9" i="5" s="1"/>
  <c r="G25" i="5"/>
  <c r="C6" i="5"/>
  <c r="E6" i="5" s="1"/>
  <c r="F6" i="5" s="1"/>
  <c r="C4" i="5"/>
  <c r="E4" i="5" s="1"/>
  <c r="F4" i="5" s="1"/>
  <c r="G23" i="5"/>
  <c r="E14" i="5"/>
  <c r="F14" i="5" s="1"/>
  <c r="G35" i="5"/>
  <c r="C16" i="5"/>
  <c r="E16" i="5" s="1"/>
  <c r="F16" i="5" s="1"/>
  <c r="G32" i="5"/>
  <c r="C13" i="5"/>
  <c r="E13" i="5" s="1"/>
  <c r="F13" i="5" s="1"/>
  <c r="C7" i="5"/>
  <c r="E7" i="5" s="1"/>
  <c r="F7" i="5" s="1"/>
  <c r="G26" i="5"/>
  <c r="C18" i="5"/>
  <c r="E18" i="5" s="1"/>
  <c r="F18" i="5" s="1"/>
  <c r="G37" i="5"/>
  <c r="G16" i="4"/>
  <c r="J20" i="4" s="1"/>
  <c r="I27" i="4"/>
  <c r="I32" i="4"/>
  <c r="I26" i="4"/>
  <c r="I24" i="4"/>
  <c r="H18" i="4"/>
  <c r="I19" i="4" s="1"/>
  <c r="I25" i="4"/>
  <c r="I20" i="4"/>
  <c r="H19" i="4"/>
  <c r="G40" i="4"/>
  <c r="H33" i="4"/>
  <c r="I33" i="4" l="1"/>
  <c r="I35" i="4" s="1"/>
  <c r="H21" i="4"/>
  <c r="H39" i="4" s="1"/>
  <c r="H40" i="4" s="1"/>
  <c r="J25" i="4"/>
  <c r="H17" i="4"/>
  <c r="J24" i="4"/>
  <c r="J26" i="4"/>
  <c r="J27" i="4"/>
  <c r="H16" i="4"/>
  <c r="K20" i="4" s="1"/>
  <c r="J32" i="4"/>
  <c r="I18" i="4"/>
  <c r="J19" i="4" s="1"/>
  <c r="J33" i="4" l="1"/>
  <c r="J35" i="4" s="1"/>
  <c r="I21" i="4"/>
  <c r="I39" i="4" s="1"/>
  <c r="I40" i="4" s="1"/>
  <c r="I16" i="4"/>
  <c r="L32" i="4" s="1"/>
  <c r="I17" i="4"/>
  <c r="K24" i="4"/>
  <c r="K26" i="4"/>
  <c r="J18" i="4"/>
  <c r="K19" i="4" s="1"/>
  <c r="K32" i="4"/>
  <c r="K25" i="4"/>
  <c r="K27" i="4"/>
  <c r="J17" i="4" l="1"/>
  <c r="L25" i="4"/>
  <c r="L27" i="4"/>
  <c r="L26" i="4"/>
  <c r="J16" i="4"/>
  <c r="L24" i="4"/>
  <c r="L20" i="4"/>
  <c r="K18" i="4"/>
  <c r="L19" i="4" s="1"/>
  <c r="K33" i="4"/>
  <c r="K35" i="4" s="1"/>
  <c r="J21" i="4"/>
  <c r="J39" i="4" s="1"/>
  <c r="J40" i="4" s="1"/>
  <c r="K17" i="4" l="1"/>
  <c r="M32" i="4"/>
  <c r="K21" i="4"/>
  <c r="K39" i="4" s="1"/>
  <c r="K40" i="4" s="1"/>
  <c r="M26" i="4"/>
  <c r="L33" i="4"/>
  <c r="L35" i="4" s="1"/>
  <c r="M20" i="4"/>
  <c r="K16" i="4"/>
  <c r="N20" i="4" s="1"/>
  <c r="L18" i="4"/>
  <c r="M19" i="4" s="1"/>
  <c r="M24" i="4"/>
  <c r="M25" i="4"/>
  <c r="M27" i="4"/>
  <c r="N32" i="4" l="1"/>
  <c r="L21" i="4"/>
  <c r="L39" i="4" s="1"/>
  <c r="L40" i="4" s="1"/>
  <c r="N25" i="4"/>
  <c r="L16" i="4"/>
  <c r="N18" i="4" s="1"/>
  <c r="N26" i="4"/>
  <c r="L17" i="4"/>
  <c r="M18" i="4"/>
  <c r="N19" i="4" s="1"/>
  <c r="N27" i="4"/>
  <c r="N24" i="4"/>
  <c r="M33" i="4"/>
  <c r="M35" i="4" s="1"/>
  <c r="N21" i="4" l="1"/>
  <c r="O24" i="4"/>
  <c r="O32" i="4"/>
  <c r="M17" i="4"/>
  <c r="O19" i="4"/>
  <c r="O25" i="4"/>
  <c r="O27" i="4"/>
  <c r="M16" i="4"/>
  <c r="O26" i="4"/>
  <c r="M21" i="4"/>
  <c r="M39" i="4" s="1"/>
  <c r="M40" i="4" s="1"/>
  <c r="N33" i="4"/>
  <c r="N35" i="4" s="1"/>
  <c r="N17" i="4" l="1"/>
  <c r="N16" i="4"/>
  <c r="P26" i="4"/>
  <c r="P32" i="4"/>
  <c r="O33" i="4"/>
  <c r="P27" i="4"/>
  <c r="P25" i="4"/>
  <c r="P24" i="4"/>
  <c r="N39" i="4"/>
  <c r="N40" i="4" s="1"/>
  <c r="O18" i="4" l="1"/>
  <c r="P19" i="4" s="1"/>
  <c r="O35" i="4"/>
  <c r="O17" i="4"/>
  <c r="Q32" i="4"/>
  <c r="Q26" i="4"/>
  <c r="Q27" i="4"/>
  <c r="Q24" i="4"/>
  <c r="P33" i="4"/>
  <c r="P35" i="4" s="1"/>
  <c r="P18" i="4" s="1"/>
  <c r="Q19" i="4" s="1"/>
  <c r="O16" i="4"/>
  <c r="O20" i="4"/>
  <c r="Q25" i="4"/>
  <c r="O21" i="4" l="1"/>
  <c r="O39" i="4" s="1"/>
  <c r="O40" i="4" s="1"/>
  <c r="R26" i="4"/>
  <c r="R32" i="4"/>
  <c r="R25" i="4"/>
  <c r="Q33" i="4"/>
  <c r="Q35" i="4" s="1"/>
  <c r="Q20" i="4" s="1"/>
  <c r="P17" i="4"/>
  <c r="R27" i="4"/>
  <c r="R24" i="4"/>
  <c r="P20" i="4"/>
  <c r="P21" i="4" s="1"/>
  <c r="P39" i="4" s="1"/>
  <c r="P40" i="4" s="1"/>
  <c r="P16" i="4"/>
  <c r="S32" i="4" s="1"/>
  <c r="R33" i="4" l="1"/>
  <c r="R35" i="4" s="1"/>
  <c r="Q18" i="4"/>
  <c r="R19" i="4" s="1"/>
  <c r="S28" i="4"/>
  <c r="S25" i="4"/>
  <c r="Q17" i="4"/>
  <c r="S24" i="4"/>
  <c r="Q16" i="4"/>
  <c r="T32" i="4" s="1"/>
  <c r="S33" i="4" l="1"/>
  <c r="S35" i="4" s="1"/>
  <c r="R20" i="4"/>
  <c r="Q21" i="4"/>
  <c r="Q39" i="4" s="1"/>
  <c r="Q40" i="4" s="1"/>
  <c r="R17" i="4"/>
  <c r="T28" i="4"/>
  <c r="R18" i="4"/>
  <c r="S19" i="4" s="1"/>
  <c r="T24" i="4"/>
  <c r="R16" i="4"/>
  <c r="T25" i="4" l="1"/>
  <c r="T33" i="4" s="1"/>
  <c r="T35" i="4" s="1"/>
  <c r="U32" i="4"/>
  <c r="R21" i="4"/>
  <c r="R39" i="4" s="1"/>
  <c r="R40" i="4" s="1"/>
  <c r="U24" i="4"/>
  <c r="S16" i="4"/>
  <c r="S17" i="4"/>
  <c r="U28" i="4"/>
  <c r="V32" i="4" l="1"/>
  <c r="T16" i="4"/>
  <c r="W24" i="4" s="1"/>
  <c r="S18" i="4"/>
  <c r="T19" i="4" s="1"/>
  <c r="S20" i="4"/>
  <c r="T20" i="4"/>
  <c r="U25" i="4"/>
  <c r="U33" i="4" s="1"/>
  <c r="U35" i="4" s="1"/>
  <c r="U18" i="4" s="1"/>
  <c r="V19" i="4" s="1"/>
  <c r="V28" i="4"/>
  <c r="V24" i="4"/>
  <c r="T17" i="4"/>
  <c r="W20" i="4" l="1"/>
  <c r="V18" i="4"/>
  <c r="W19" i="4" s="1"/>
  <c r="S21" i="4"/>
  <c r="S39" i="4" s="1"/>
  <c r="S40" i="4" s="1"/>
  <c r="T18" i="4"/>
  <c r="U19" i="4" s="1"/>
  <c r="U17" i="4"/>
  <c r="U16" i="4"/>
  <c r="X24" i="4" s="1"/>
  <c r="V25" i="4"/>
  <c r="W28" i="4"/>
  <c r="W32" i="4"/>
  <c r="U20" i="4"/>
  <c r="V33" i="4" l="1"/>
  <c r="V35" i="4" s="1"/>
  <c r="U21" i="4"/>
  <c r="U39" i="4" s="1"/>
  <c r="T21" i="4"/>
  <c r="T39" i="4" s="1"/>
  <c r="V17" i="4"/>
  <c r="X32" i="4"/>
  <c r="V16" i="4"/>
  <c r="Y24" i="4" s="1"/>
  <c r="X28" i="4"/>
  <c r="W25" i="4"/>
  <c r="V20" i="4"/>
  <c r="V21" i="4" s="1"/>
  <c r="V39" i="4" s="1"/>
  <c r="V40" i="4" s="1"/>
  <c r="U40" i="4" l="1"/>
  <c r="W17" i="4"/>
  <c r="Y32" i="4"/>
  <c r="Y28" i="4"/>
  <c r="X25" i="4"/>
  <c r="X33" i="4" s="1"/>
  <c r="W16" i="4"/>
  <c r="Z24" i="4" s="1"/>
  <c r="Y25" i="4" l="1"/>
  <c r="Y33" i="4" s="1"/>
  <c r="Y35" i="4" s="1"/>
  <c r="Z32" i="4"/>
  <c r="Z28" i="4"/>
  <c r="X16" i="4"/>
  <c r="X17" i="4"/>
  <c r="AA32" i="4" l="1"/>
  <c r="AA24" i="4"/>
  <c r="AA28" i="4"/>
  <c r="Y17" i="4"/>
  <c r="Z25" i="4"/>
  <c r="Y16" i="4"/>
  <c r="W33" i="4"/>
  <c r="X35" i="4" s="1"/>
  <c r="AB28" i="4" l="1"/>
  <c r="AB24" i="4"/>
  <c r="Z33" i="4"/>
  <c r="Z35" i="4" s="1"/>
  <c r="AB32" i="4"/>
  <c r="Z17" i="4"/>
  <c r="AA25" i="4"/>
  <c r="AA33" i="4" s="1"/>
  <c r="Z16" i="4"/>
  <c r="W35" i="4"/>
  <c r="AC28" i="4" l="1"/>
  <c r="AC24" i="4"/>
  <c r="AA35" i="4"/>
  <c r="AC32" i="4"/>
  <c r="AA17" i="4"/>
  <c r="AA16" i="4"/>
  <c r="AB25" i="4"/>
  <c r="AB33" i="4" s="1"/>
  <c r="AB35" i="4" s="1"/>
  <c r="W18" i="4"/>
  <c r="X19" i="4" s="1"/>
  <c r="AD24" i="4" l="1"/>
  <c r="AD28" i="4"/>
  <c r="AB16" i="4"/>
  <c r="AD32" i="4"/>
  <c r="AB17" i="4"/>
  <c r="AC25" i="4"/>
  <c r="AC33" i="4" s="1"/>
  <c r="AC35" i="4" s="1"/>
  <c r="W21" i="4"/>
  <c r="W39" i="4" s="1"/>
  <c r="W40" i="4" s="1"/>
  <c r="X18" i="4"/>
  <c r="Y19" i="4" s="1"/>
  <c r="X20" i="4"/>
  <c r="Y18" i="4"/>
  <c r="Z19" i="4" s="1"/>
  <c r="AE24" i="4" l="1"/>
  <c r="AE28" i="4"/>
  <c r="AC16" i="4"/>
  <c r="AD25" i="4"/>
  <c r="AD33" i="4" s="1"/>
  <c r="AD35" i="4" s="1"/>
  <c r="AC17" i="4"/>
  <c r="AE32" i="4"/>
  <c r="X21" i="4"/>
  <c r="X39" i="4" s="1"/>
  <c r="X40" i="4" s="1"/>
  <c r="Y20" i="4"/>
  <c r="AF28" i="4" l="1"/>
  <c r="AF24" i="4"/>
  <c r="AF32" i="4"/>
  <c r="AD16" i="4"/>
  <c r="AD17" i="4"/>
  <c r="AE25" i="4"/>
  <c r="AE33" i="4" s="1"/>
  <c r="Z20" i="4"/>
  <c r="Z18" i="4"/>
  <c r="AA19" i="4" s="1"/>
  <c r="Y21" i="4"/>
  <c r="AG28" i="4" l="1"/>
  <c r="AG24" i="4"/>
  <c r="AE35" i="4"/>
  <c r="Y39" i="4"/>
  <c r="Y40" i="4" s="1"/>
  <c r="AF25" i="4"/>
  <c r="AF33" i="4" s="1"/>
  <c r="AF35" i="4" s="1"/>
  <c r="AG32" i="4"/>
  <c r="AE16" i="4"/>
  <c r="AE17" i="4"/>
  <c r="AA20" i="4"/>
  <c r="AA18" i="4"/>
  <c r="AB19" i="4" s="1"/>
  <c r="Z21" i="4"/>
  <c r="Z39" i="4" s="1"/>
  <c r="Z40" i="4" s="1"/>
  <c r="AH24" i="4" l="1"/>
  <c r="AH28" i="4"/>
  <c r="AF17" i="4"/>
  <c r="AF16" i="4"/>
  <c r="AG25" i="4"/>
  <c r="AG33" i="4" s="1"/>
  <c r="AG35" i="4" s="1"/>
  <c r="AD15" i="4" s="1"/>
  <c r="AH32" i="4"/>
  <c r="AB20" i="4"/>
  <c r="AB18" i="4"/>
  <c r="AC19" i="4" s="1"/>
  <c r="AA21" i="4"/>
  <c r="AA39" i="4" s="1"/>
  <c r="AA40" i="4" s="1"/>
  <c r="AI32" i="4" l="1"/>
  <c r="AI24" i="4"/>
  <c r="AI28" i="4"/>
  <c r="AG16" i="4"/>
  <c r="AH25" i="4"/>
  <c r="AH33" i="4" s="1"/>
  <c r="AH35" i="4" s="1"/>
  <c r="AE15" i="4" s="1"/>
  <c r="AG17" i="4"/>
  <c r="AB21" i="4"/>
  <c r="AB39" i="4" s="1"/>
  <c r="AB40" i="4" s="1"/>
  <c r="AC20" i="4"/>
  <c r="AC18" i="4"/>
  <c r="AD19" i="4" s="1"/>
  <c r="AJ32" i="4" l="1"/>
  <c r="AI25" i="4"/>
  <c r="AI33" i="4" s="1"/>
  <c r="AI35" i="4" s="1"/>
  <c r="AF15" i="4" s="1"/>
  <c r="AJ24" i="4"/>
  <c r="AJ28" i="4"/>
  <c r="AH16" i="4"/>
  <c r="AH17" i="4"/>
  <c r="AC21" i="4"/>
  <c r="AC39" i="4" s="1"/>
  <c r="AC40" i="4" s="1"/>
  <c r="AD20" i="4"/>
  <c r="AD18" i="4"/>
  <c r="AE19" i="4" s="1"/>
  <c r="AK28" i="4" l="1"/>
  <c r="AJ25" i="4"/>
  <c r="AJ33" i="4" s="1"/>
  <c r="AJ35" i="4" s="1"/>
  <c r="AG15" i="4" s="1"/>
  <c r="AI17" i="4"/>
  <c r="AK24" i="4"/>
  <c r="AI16" i="4"/>
  <c r="AK32" i="4"/>
  <c r="AD21" i="4"/>
  <c r="AD39" i="4" s="1"/>
  <c r="AD40" i="4" s="1"/>
  <c r="AE20" i="4"/>
  <c r="AE18" i="4"/>
  <c r="AF19" i="4" s="1"/>
  <c r="AL32" i="4" l="1"/>
  <c r="AL28" i="4"/>
  <c r="AK25" i="4"/>
  <c r="AK33" i="4" s="1"/>
  <c r="AK35" i="4" s="1"/>
  <c r="AH15" i="4" s="1"/>
  <c r="AJ17" i="4"/>
  <c r="AL24" i="4"/>
  <c r="AJ16" i="4"/>
  <c r="AE21" i="4"/>
  <c r="AE39" i="4" s="1"/>
  <c r="AE40" i="4" s="1"/>
  <c r="AG18" i="4"/>
  <c r="AF18" i="4"/>
  <c r="AG19" i="4" s="1"/>
  <c r="AF20" i="4"/>
  <c r="AM32" i="4" l="1"/>
  <c r="AM24" i="4"/>
  <c r="AM28" i="4"/>
  <c r="AL25" i="4"/>
  <c r="AL33" i="4" s="1"/>
  <c r="AL35" i="4" s="1"/>
  <c r="AI15" i="4" s="1"/>
  <c r="AK17" i="4"/>
  <c r="AK16" i="4"/>
  <c r="AF21" i="4"/>
  <c r="AF39" i="4" s="1"/>
  <c r="AF40" i="4" s="1"/>
  <c r="AH19" i="4"/>
  <c r="AG20" i="4"/>
  <c r="AG21" i="4" s="1"/>
  <c r="AG39" i="4" s="1"/>
  <c r="AG40" i="4" s="1"/>
  <c r="AL20" i="4" l="1"/>
  <c r="AL18" i="4"/>
  <c r="AM19" i="4" s="1"/>
  <c r="AN32" i="4"/>
  <c r="AN24" i="4"/>
  <c r="AN28" i="4"/>
  <c r="AM25" i="4"/>
  <c r="AL17" i="4"/>
  <c r="AM33" i="4"/>
  <c r="AM35" i="4" s="1"/>
  <c r="AJ15" i="4" s="1"/>
  <c r="AL16" i="4"/>
  <c r="AH20" i="4"/>
  <c r="AH18" i="4"/>
  <c r="AI19" i="4" s="1"/>
  <c r="AM20" i="4" l="1"/>
  <c r="AM18" i="4"/>
  <c r="AN19" i="4" s="1"/>
  <c r="AO32" i="4"/>
  <c r="AO28" i="4"/>
  <c r="AN25" i="4"/>
  <c r="AN33" i="4" s="1"/>
  <c r="AN35" i="4" s="1"/>
  <c r="AK15" i="4" s="1"/>
  <c r="AM17" i="4"/>
  <c r="AO24" i="4"/>
  <c r="AI20" i="4"/>
  <c r="AI18" i="4"/>
  <c r="AJ19" i="4" s="1"/>
  <c r="AM16" i="4"/>
  <c r="AH21" i="4"/>
  <c r="AH39" i="4" s="1"/>
  <c r="AH40" i="4" s="1"/>
  <c r="AN20" i="4" l="1"/>
  <c r="AN18" i="4"/>
  <c r="AO19" i="4" s="1"/>
  <c r="AP32" i="4"/>
  <c r="AP28" i="4"/>
  <c r="AO25" i="4"/>
  <c r="AO33" i="4" s="1"/>
  <c r="AO35" i="4" s="1"/>
  <c r="AL15" i="4" s="1"/>
  <c r="AN17" i="4"/>
  <c r="AP24" i="4"/>
  <c r="AM21" i="4"/>
  <c r="AM39" i="4" s="1"/>
  <c r="AM40" i="4" s="1"/>
  <c r="AI21" i="4"/>
  <c r="AI39" i="4" s="1"/>
  <c r="AI40" i="4" s="1"/>
  <c r="AJ18" i="4"/>
  <c r="AK19" i="4" s="1"/>
  <c r="AJ20" i="4"/>
  <c r="AN16" i="4"/>
  <c r="AJ21" i="4" l="1"/>
  <c r="AJ39" i="4" s="1"/>
  <c r="AJ40" i="4" s="1"/>
  <c r="AO18" i="4"/>
  <c r="AP19" i="4" s="1"/>
  <c r="AO20" i="4"/>
  <c r="AQ32" i="4"/>
  <c r="AQ24" i="4"/>
  <c r="AQ28" i="4"/>
  <c r="AP25" i="4"/>
  <c r="AP33" i="4" s="1"/>
  <c r="AP35" i="4" s="1"/>
  <c r="AM15" i="4" s="1"/>
  <c r="AO17" i="4"/>
  <c r="AN21" i="4"/>
  <c r="AN39" i="4" s="1"/>
  <c r="AN40" i="4" s="1"/>
  <c r="AK18" i="4"/>
  <c r="AL19" i="4" s="1"/>
  <c r="AL21" i="4" s="1"/>
  <c r="AL39" i="4" s="1"/>
  <c r="AL40" i="4" s="1"/>
  <c r="AK20" i="4"/>
  <c r="AO16" i="4"/>
  <c r="AO21" i="4" l="1"/>
  <c r="AO39" i="4" s="1"/>
  <c r="AO40" i="4" s="1"/>
  <c r="AP18" i="4"/>
  <c r="AQ19" i="4" s="1"/>
  <c r="AP20" i="4"/>
  <c r="AP16" i="4"/>
  <c r="AQ25" i="4"/>
  <c r="AP17" i="4"/>
  <c r="AQ33" i="4"/>
  <c r="AQ35" i="4" s="1"/>
  <c r="AN15" i="4" s="1"/>
  <c r="AK21" i="4"/>
  <c r="AK39" i="4" s="1"/>
  <c r="AK40" i="4" s="1"/>
  <c r="AP21" i="4" l="1"/>
  <c r="AP39" i="4" s="1"/>
  <c r="AP40" i="4" s="1"/>
  <c r="AO15" i="4"/>
  <c r="AP15" i="4" s="1"/>
  <c r="AQ15" i="4" s="1"/>
  <c r="AQ20" i="4"/>
  <c r="AQ18" i="4"/>
  <c r="AQ16" i="4"/>
  <c r="AQ17" i="4"/>
  <c r="AQ21" i="4" l="1"/>
  <c r="AQ39" i="4" s="1"/>
  <c r="AQ40" i="4" s="1"/>
</calcChain>
</file>

<file path=xl/sharedStrings.xml><?xml version="1.0" encoding="utf-8"?>
<sst xmlns="http://schemas.openxmlformats.org/spreadsheetml/2006/main" count="187" uniqueCount="118">
  <si>
    <t>payment per year</t>
  </si>
  <si>
    <t>payment per month</t>
  </si>
  <si>
    <t>lower</t>
  </si>
  <si>
    <t>upper</t>
  </si>
  <si>
    <t>+</t>
  </si>
  <si>
    <t>per item</t>
  </si>
  <si>
    <t>Special fees and allowances have been distributed in proportion to monthly items for illustrative purposes only. In practice, individual pharmacy income will vary according to the mix of products dispensed.</t>
  </si>
  <si>
    <t>SAF</t>
  </si>
  <si>
    <t>This guide and calculator do not cover locally agreed contracts (Local Pharmaceutical Services contracts).</t>
  </si>
  <si>
    <t>IMPORTANT:</t>
  </si>
  <si>
    <t>These figures are illustrative only.</t>
  </si>
  <si>
    <t>Income relating to Advanced and Enhanced Services is not included.</t>
  </si>
  <si>
    <t>Community Pharmacy Contractual Framework: PSNC's cashflow calculator</t>
  </si>
  <si>
    <t>Pharmacy average monthly item volume:</t>
  </si>
  <si>
    <t>per month</t>
  </si>
  <si>
    <t>2016/17 H1</t>
  </si>
  <si>
    <t>2016/17 H2</t>
  </si>
  <si>
    <t>2017/18 H1</t>
  </si>
  <si>
    <t>Margins</t>
  </si>
  <si>
    <t>Pharmacy opens 1st Jan</t>
  </si>
  <si>
    <t>Dispensing / SOP Month</t>
  </si>
  <si>
    <t>AIV</t>
  </si>
  <si>
    <t>Fees</t>
  </si>
  <si>
    <t>Items Dispensed</t>
  </si>
  <si>
    <t xml:space="preserve">This model assumes that: </t>
  </si>
  <si>
    <t>Items Submitted for Payment</t>
  </si>
  <si>
    <t>Advance Payment</t>
  </si>
  <si>
    <r>
      <t>·</t>
    </r>
    <r>
      <rPr>
        <sz val="7"/>
        <rFont val="Times New Roman"/>
        <family val="1"/>
      </rPr>
      <t xml:space="preserve">         </t>
    </r>
    <r>
      <rPr>
        <sz val="11"/>
        <rFont val="Calibri"/>
        <family val="2"/>
        <scheme val="minor"/>
      </rPr>
      <t>DH imposes a cut in total funding of £113m in H2 2016/17</t>
    </r>
  </si>
  <si>
    <t>Advance Recovered</t>
  </si>
  <si>
    <r>
      <t>·</t>
    </r>
    <r>
      <rPr>
        <sz val="7"/>
        <rFont val="Times New Roman"/>
        <family val="1"/>
      </rPr>
      <t xml:space="preserve">         </t>
    </r>
    <r>
      <rPr>
        <sz val="11"/>
        <rFont val="Calibri"/>
        <family val="2"/>
        <scheme val="minor"/>
      </rPr>
      <t>DH imposes a further cut in total funding of £95m in 2017/18</t>
    </r>
  </si>
  <si>
    <t>Total  value of account</t>
  </si>
  <si>
    <r>
      <t>·</t>
    </r>
    <r>
      <rPr>
        <sz val="7"/>
        <rFont val="Times New Roman"/>
        <family val="1"/>
      </rPr>
      <t xml:space="preserve">         </t>
    </r>
    <r>
      <rPr>
        <sz val="11"/>
        <rFont val="Calibri"/>
        <family val="2"/>
        <scheme val="minor"/>
      </rPr>
      <t>DH imposes its proposal of phasing out the Establishment Payment, reducing the pay rate by 20% from Dec-16, and by 40% from April-17</t>
    </r>
  </si>
  <si>
    <t>Total payment</t>
  </si>
  <si>
    <r>
      <t>·</t>
    </r>
    <r>
      <rPr>
        <sz val="7"/>
        <rFont val="Times New Roman"/>
        <family val="1"/>
      </rPr>
      <t xml:space="preserve">         </t>
    </r>
    <r>
      <rPr>
        <sz val="11"/>
        <rFont val="Calibri"/>
        <family val="2"/>
        <scheme val="minor"/>
      </rPr>
      <t>SAF is introduced in Dec-16</t>
    </r>
  </si>
  <si>
    <t>Special fees &amp; allowances</t>
  </si>
  <si>
    <t>EP</t>
  </si>
  <si>
    <t>PP table (Nov-15 to Mar-16)</t>
  </si>
  <si>
    <t>Prescription fee, Repeat Disp. &amp; EPS</t>
  </si>
  <si>
    <t>PP</t>
  </si>
  <si>
    <t>QP</t>
  </si>
  <si>
    <t>Margin</t>
  </si>
  <si>
    <t>Payment excluding reimbursement</t>
  </si>
  <si>
    <t>AIV change</t>
  </si>
  <si>
    <t>PP table (Apr-16 to Jul-16)</t>
  </si>
  <si>
    <t>Cash change</t>
  </si>
  <si>
    <t>Percentage change</t>
  </si>
  <si>
    <t>PP table (Aug-16 to Sept-16)</t>
  </si>
  <si>
    <t>PP table (Oct-16 to Nov-17)</t>
  </si>
  <si>
    <t>Pharmacy Cost Assumptions</t>
  </si>
  <si>
    <t>Base cost (per year):</t>
  </si>
  <si>
    <t>Per item cost:</t>
  </si>
  <si>
    <t>Total 16/17 Margin:</t>
  </si>
  <si>
    <t>16/17 forecast Total Items:</t>
  </si>
  <si>
    <t>Margin per item:</t>
  </si>
  <si>
    <t>Prescription Fee:</t>
  </si>
  <si>
    <t>16/17 forecast 2A-2F fees:</t>
  </si>
  <si>
    <t>Cat M reduction</t>
  </si>
  <si>
    <t>per item:</t>
  </si>
  <si>
    <t>Total 17/18 Margin:</t>
  </si>
  <si>
    <t>EP table (Current - up to Nov-16)</t>
  </si>
  <si>
    <t>EP table (16/17 H2 -  20% cut from Dec-16)</t>
  </si>
  <si>
    <t>EP table (17/18 - 40% cut)</t>
  </si>
  <si>
    <t>This section contains a cashflow indicator, intended to demonstrate how cashflow could be affected for an average pharmacy in £ (sterling) for Essential Services provided under the Community Pharmacy Contractual Framework. These figures are based on the imposition for 2016/17 and 2017/18 that are outlined in relation to dispensing volume. The figures shown here are illustrative only.</t>
  </si>
  <si>
    <t>Review Point 2 amount</t>
  </si>
  <si>
    <t>Review Point 1 amount</t>
  </si>
  <si>
    <t>17/18 forecast total items:</t>
  </si>
  <si>
    <t>Forecast items for Aug-17 to Jul-18</t>
  </si>
  <si>
    <t>2017/18 H2</t>
  </si>
  <si>
    <t>nb. Assumes pharmacy qualifies for full amount</t>
  </si>
  <si>
    <t>To give the most accurate result for your pharmacy, please replace the national AIV figures in cells D13 to T13 with your own pharmacy's AIV figures, found on Page 2 of each monthly Schedule of Payments.</t>
  </si>
  <si>
    <r>
      <t>·</t>
    </r>
    <r>
      <rPr>
        <sz val="7"/>
        <color theme="1"/>
        <rFont val="Times New Roman"/>
        <family val="1"/>
      </rPr>
      <t xml:space="preserve">         </t>
    </r>
    <r>
      <rPr>
        <sz val="11"/>
        <color theme="1"/>
        <rFont val="Calibri"/>
        <family val="2"/>
        <scheme val="minor"/>
      </rPr>
      <t>From August 2017 the margin run rate is therefore fixed at £620m</t>
    </r>
  </si>
  <si>
    <r>
      <t>·</t>
    </r>
    <r>
      <rPr>
        <sz val="7"/>
        <color theme="1"/>
        <rFont val="Times New Roman"/>
        <family val="1"/>
      </rPr>
      <t xml:space="preserve">         </t>
    </r>
    <r>
      <rPr>
        <sz val="11"/>
        <color theme="1"/>
        <rFont val="Calibri"/>
        <family val="2"/>
        <scheme val="minor"/>
      </rPr>
      <t>£15m a month will be recovered from August 2017 onwards</t>
    </r>
  </si>
  <si>
    <r>
      <t xml:space="preserve">·   </t>
    </r>
    <r>
      <rPr>
        <sz val="11"/>
        <rFont val="Calibri"/>
        <family val="2"/>
        <scheme val="minor"/>
      </rPr>
      <t>PhAS is not included in this model</t>
    </r>
  </si>
  <si>
    <t>Community Pharmacy Contractual Framework: PSNC's cashflow indicator</t>
  </si>
  <si>
    <t>The Pharmacy Access Scheme (PhAS) payments are not factored into this calcuator.</t>
  </si>
  <si>
    <t>Information on PhAS and a list of eligible pharmacies is available at psnc.org.uk/phas</t>
  </si>
  <si>
    <t xml:space="preserve">Estimated average buying profit is derived from the total agreed margin divided by the forecasted items, and is intended only as a guide. </t>
  </si>
  <si>
    <t>Please input Pharmacy AIVs from Dec-15 to Apr-17 Schedule of Payments into the bordered cells below</t>
  </si>
  <si>
    <t>input:</t>
  </si>
  <si>
    <t>Apr-17 to Jul-17</t>
  </si>
  <si>
    <t>Items per month</t>
  </si>
  <si>
    <t>Total income from fees and allowances pcm</t>
  </si>
  <si>
    <t>Estimated average     buying profit</t>
  </si>
  <si>
    <t>Indicative total income pcm</t>
  </si>
  <si>
    <t>£ per item</t>
  </si>
  <si>
    <t>Establishment Payment</t>
  </si>
  <si>
    <t>Special fees and allowances</t>
  </si>
  <si>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 xml:space="preserve">income from fees and allowances for Essential Services by item band during dispensing months </t>
    </r>
    <r>
      <rPr>
        <b/>
        <sz val="9"/>
        <color theme="1"/>
        <rFont val="Calibri"/>
        <family val="2"/>
        <scheme val="minor"/>
      </rPr>
      <t>Apr-17 to Jul-17</t>
    </r>
  </si>
  <si>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 during</t>
    </r>
    <r>
      <rPr>
        <b/>
        <sz val="9"/>
        <color theme="1"/>
        <rFont val="Calibri"/>
        <family val="2"/>
        <scheme val="minor"/>
      </rPr>
      <t xml:space="preserve"> dispensing months Apr-17 to Jul-17</t>
    </r>
    <r>
      <rPr>
        <sz val="9"/>
        <color theme="1"/>
        <rFont val="Calibri"/>
        <family val="2"/>
        <scheme val="minor"/>
      </rPr>
      <t xml:space="preserve"> inclusive</t>
    </r>
  </si>
  <si>
    <t>16/17 Special fees / allowances per item:</t>
  </si>
  <si>
    <t>Aug-17 to Mar-18</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</si>
  <si>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 during</t>
    </r>
    <r>
      <rPr>
        <b/>
        <sz val="9"/>
        <color theme="1"/>
        <rFont val="Calibri"/>
        <family val="2"/>
        <scheme val="minor"/>
      </rPr>
      <t xml:space="preserve"> dispensing months Aug-17 to Mar-18</t>
    </r>
    <r>
      <rPr>
        <sz val="9"/>
        <color theme="1"/>
        <rFont val="Calibri"/>
        <family val="2"/>
        <scheme val="minor"/>
      </rPr>
      <t xml:space="preserve"> inclusive</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</si>
  <si>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 xml:space="preserve">income from fees and allowances for Essential Services by item band during dispensing months </t>
    </r>
    <r>
      <rPr>
        <b/>
        <sz val="9"/>
        <color theme="1"/>
        <rFont val="Calibri"/>
        <family val="2"/>
        <scheme val="minor"/>
      </rPr>
      <t>Aug-17 to Mar-18</t>
    </r>
  </si>
  <si>
    <t>2018/19 H1</t>
  </si>
  <si>
    <t>2018/19 H2</t>
  </si>
  <si>
    <t>Provisional 18/19 Margin:</t>
  </si>
  <si>
    <t>18/19 forecast items:</t>
  </si>
  <si>
    <t>2016/17 Fees &amp; Margin</t>
  </si>
  <si>
    <t>2017/18 Fees &amp; Margin</t>
  </si>
  <si>
    <t>Dec-16 to Mar-17 SAF per item</t>
  </si>
  <si>
    <t>17/18 forecast 2A-2F fees:</t>
  </si>
  <si>
    <t>2018/19 Fees &amp; Margin</t>
  </si>
  <si>
    <t>18/19 forecast 2A-2F fees:</t>
  </si>
  <si>
    <t>17/18 Special fees / allowances per item:</t>
  </si>
  <si>
    <t>2018/19 SAF</t>
  </si>
  <si>
    <t>Apr-17 to Oct-17 SAF</t>
  </si>
  <si>
    <t>Nov-17 to Mar-18 SAF</t>
  </si>
  <si>
    <t>EP table (18/19 - same as 17/18)</t>
  </si>
  <si>
    <t>QP 2017/18</t>
  </si>
  <si>
    <t>QP 2018/19</t>
  </si>
  <si>
    <t>nb. Amount if every CP qualified for full points</t>
  </si>
  <si>
    <t>18/19 Special fees / allowances per item:</t>
  </si>
  <si>
    <t>NB: Cashflow for 2016/17 in hidden columns D to S</t>
  </si>
  <si>
    <t>Last updated 02/05/2018</t>
  </si>
  <si>
    <t>Reduction from Aug-17</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</si>
  <si>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from dispensing month Apr-18</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</si>
  <si>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from dispensing month Apr-18</t>
    </r>
  </si>
  <si>
    <t>From Apr-18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</si>
</sst>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
    <numFmt numFmtId="165" formatCode="&quot;£&quot;#,##0.00"/>
    <numFmt numFmtId="166" formatCode="_-* #,##0_-;\-* #,##0_-;_-* &quot;-&quot;??_-;_-@_-"/>
    <numFmt numFmtId="167" formatCode="&quot;£&quot;#,##0.000"/>
    <numFmt numFmtId="168" formatCode="&quot;£&quot;#,##0.0000"/>
    <numFmt numFmtId="169" formatCode="_-* #,##0.0000_-;\-* #,##0.0000_-;_-* &quot;-&quot;??_-;_-@_-"/>
    <numFmt numFmtId="170" formatCode="_-* #,##0.00000_-;\-* #,##0.00000_-;_-* &quot;-&quot;??_-;_-@_-"/>
    <numFmt numFmtId="176" formatCode="_-* #,##0.0_-;\-* #,##0.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Symbol"/>
      <family val="1"/>
      <charset val="2"/>
    </font>
    <font>
      <sz val="11"/>
      <name val="Calibri"/>
      <family val="2"/>
      <scheme val="minor"/>
    </font>
    <font>
      <u/>
      <sz val="11"/>
      <color theme="10"/>
      <name val="Calibri"/>
      <family val="2"/>
      <scheme val="minor"/>
    </font>
    <font>
      <sz val="11"/>
      <color theme="0" tint="-0.34998626667073579"/>
      <name val="Calibri"/>
      <family val="2"/>
      <scheme val="minor"/>
    </font>
    <font>
      <b/>
      <sz val="16"/>
      <color theme="1"/>
      <name val="Calibri"/>
      <family val="2"/>
      <scheme val="minor"/>
    </font>
    <font>
      <sz val="10.5"/>
      <color theme="1"/>
      <name val="Calibri"/>
      <family val="2"/>
      <scheme val="minor"/>
    </font>
    <font>
      <b/>
      <sz val="10.5"/>
      <color rgb="FFFF1D1D"/>
      <name val="Calibri"/>
      <family val="2"/>
      <scheme val="minor"/>
    </font>
    <font>
      <sz val="11"/>
      <color rgb="FFFF0000"/>
      <name val="Calibri"/>
      <family val="2"/>
      <scheme val="minor"/>
    </font>
    <font>
      <i/>
      <sz val="11"/>
      <color theme="1"/>
      <name val="Calibri"/>
      <family val="2"/>
      <scheme val="minor"/>
    </font>
    <font>
      <sz val="13"/>
      <color rgb="FF2E74B5"/>
      <name val="Calibri Light"/>
      <family val="2"/>
    </font>
    <font>
      <sz val="9"/>
      <color theme="0" tint="-0.34998626667073579"/>
      <name val="Calibri"/>
      <family val="2"/>
      <scheme val="minor"/>
    </font>
    <font>
      <sz val="11"/>
      <color theme="1"/>
      <name val="Symbol"/>
      <family val="1"/>
      <charset val="2"/>
    </font>
    <font>
      <b/>
      <sz val="11"/>
      <color rgb="FFFF0000"/>
      <name val="Calibri"/>
      <family val="2"/>
      <scheme val="minor"/>
    </font>
    <font>
      <sz val="11"/>
      <name val="Symbol"/>
      <family val="1"/>
      <charset val="2"/>
    </font>
    <font>
      <sz val="11"/>
      <color rgb="FFC00000"/>
      <name val="Calibri"/>
      <family val="2"/>
      <scheme val="minor"/>
    </font>
    <font>
      <sz val="11"/>
      <color rgb="FFFF7C80"/>
      <name val="Calibri"/>
      <family val="2"/>
      <scheme val="minor"/>
    </font>
    <font>
      <sz val="7"/>
      <color theme="1"/>
      <name val="Times New Roman"/>
      <family val="1"/>
    </font>
    <font>
      <sz val="7"/>
      <name val="Times New Roman"/>
      <family val="1"/>
    </font>
    <font>
      <sz val="9"/>
      <color theme="5"/>
      <name val="Calibri"/>
      <family val="2"/>
      <scheme val="minor"/>
    </font>
    <font>
      <b/>
      <sz val="18"/>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CBA9E5"/>
        <bgColor indexed="64"/>
      </patternFill>
    </fill>
    <fill>
      <patternFill patternType="solid">
        <fgColor rgb="FFE2CFF1"/>
        <bgColor indexed="64"/>
      </patternFill>
    </fill>
    <fill>
      <patternFill patternType="solid">
        <fgColor theme="0" tint="-4.9989318521683403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medium">
        <color theme="4" tint="0.59996337778862885"/>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cellStyleXfs>
  <cellXfs count="203">
    <xf numFmtId="0" fontId="0" fillId="0" borderId="0" xfId="0"/>
    <xf numFmtId="0" fontId="0" fillId="2" borderId="0" xfId="0" applyFill="1"/>
    <xf numFmtId="0" fontId="0" fillId="2" borderId="0" xfId="0" applyFill="1" applyBorder="1"/>
    <xf numFmtId="0" fontId="0" fillId="4" borderId="0" xfId="0" applyFill="1"/>
    <xf numFmtId="0" fontId="0" fillId="2" borderId="0" xfId="0" applyFill="1" applyAlignment="1">
      <alignment vertical="center"/>
    </xf>
    <xf numFmtId="0" fontId="3" fillId="4" borderId="0" xfId="0" applyFont="1" applyFill="1" applyAlignment="1">
      <alignment horizontal="left" vertical="center" indent="5"/>
    </xf>
    <xf numFmtId="0" fontId="0" fillId="2" borderId="0" xfId="0" applyFill="1"/>
    <xf numFmtId="0" fontId="0" fillId="4" borderId="0" xfId="0" applyFill="1" applyAlignment="1">
      <alignment wrapText="1"/>
    </xf>
    <xf numFmtId="0" fontId="3" fillId="2" borderId="0" xfId="0" applyFont="1" applyFill="1" applyAlignment="1">
      <alignment horizontal="left" vertical="center" indent="5"/>
    </xf>
    <xf numFmtId="0" fontId="0" fillId="4" borderId="0" xfId="0" applyFill="1" applyAlignment="1">
      <alignment vertical="center" wrapText="1"/>
    </xf>
    <xf numFmtId="0" fontId="5" fillId="4" borderId="0" xfId="4" applyFill="1" applyAlignment="1">
      <alignment vertical="center"/>
    </xf>
    <xf numFmtId="0" fontId="0" fillId="2" borderId="0" xfId="0" applyFill="1" applyAlignment="1">
      <alignment horizontal="left" wrapText="1"/>
    </xf>
    <xf numFmtId="0" fontId="0" fillId="4" borderId="0" xfId="0" applyFill="1" applyAlignment="1">
      <alignment vertical="center"/>
    </xf>
    <xf numFmtId="0" fontId="0" fillId="2" borderId="0" xfId="0" applyFill="1" applyAlignment="1">
      <alignment horizontal="right"/>
    </xf>
    <xf numFmtId="0" fontId="8" fillId="2" borderId="0" xfId="0" applyFont="1" applyFill="1" applyAlignment="1">
      <alignment vertical="center"/>
    </xf>
    <xf numFmtId="0" fontId="7" fillId="0" borderId="0" xfId="0" applyFont="1" applyAlignment="1">
      <alignment horizontal="left" vertical="center"/>
    </xf>
    <xf numFmtId="165" fontId="0" fillId="2" borderId="0" xfId="0" applyNumberFormat="1" applyFill="1"/>
    <xf numFmtId="164" fontId="0" fillId="2" borderId="0" xfId="0" applyNumberFormat="1" applyFill="1"/>
    <xf numFmtId="43" fontId="0" fillId="2" borderId="0" xfId="0" applyNumberFormat="1" applyFill="1"/>
    <xf numFmtId="0" fontId="0" fillId="2" borderId="0" xfId="0" applyFill="1" applyBorder="1" applyAlignment="1">
      <alignment vertical="center"/>
    </xf>
    <xf numFmtId="0" fontId="0" fillId="2" borderId="0" xfId="0" applyFill="1" applyBorder="1" applyAlignment="1">
      <alignment horizontal="right" vertical="center"/>
    </xf>
    <xf numFmtId="0" fontId="9" fillId="4" borderId="0" xfId="0" applyFont="1" applyFill="1" applyAlignment="1">
      <alignment vertical="center"/>
    </xf>
    <xf numFmtId="0" fontId="0" fillId="8" borderId="0" xfId="0" applyFill="1"/>
    <xf numFmtId="17" fontId="0" fillId="2" borderId="0" xfId="0" applyNumberFormat="1" applyFill="1" applyAlignment="1">
      <alignment horizontal="right"/>
    </xf>
    <xf numFmtId="0" fontId="12" fillId="2" borderId="0" xfId="0" applyFont="1" applyFill="1" applyAlignment="1">
      <alignment vertical="center"/>
    </xf>
    <xf numFmtId="17" fontId="13" fillId="2" borderId="5" xfId="0" applyNumberFormat="1" applyFont="1" applyFill="1" applyBorder="1" applyAlignment="1">
      <alignment horizontal="left" vertical="top"/>
    </xf>
    <xf numFmtId="0" fontId="0" fillId="2" borderId="6" xfId="0" applyFill="1" applyBorder="1"/>
    <xf numFmtId="0" fontId="0" fillId="2" borderId="6" xfId="0" applyFill="1" applyBorder="1" applyAlignment="1">
      <alignment horizontal="right"/>
    </xf>
    <xf numFmtId="17" fontId="2" fillId="2" borderId="6" xfId="0" applyNumberFormat="1" applyFont="1" applyFill="1" applyBorder="1"/>
    <xf numFmtId="17" fontId="2" fillId="2" borderId="7" xfId="0" applyNumberFormat="1" applyFont="1" applyFill="1" applyBorder="1" applyAlignment="1">
      <alignment horizontal="right"/>
    </xf>
    <xf numFmtId="0" fontId="14" fillId="2" borderId="0" xfId="0" applyFont="1" applyFill="1" applyAlignment="1">
      <alignment horizontal="left" vertical="center" indent="5"/>
    </xf>
    <xf numFmtId="0" fontId="15" fillId="2" borderId="0" xfId="0" applyFont="1" applyFill="1" applyAlignment="1">
      <alignment horizontal="left"/>
    </xf>
    <xf numFmtId="0" fontId="0" fillId="2" borderId="0" xfId="0" applyFill="1" applyAlignment="1">
      <alignment horizontal="right" vertical="center"/>
    </xf>
    <xf numFmtId="165" fontId="0" fillId="7" borderId="8" xfId="1" applyNumberFormat="1" applyFont="1" applyFill="1" applyBorder="1" applyAlignment="1">
      <alignment horizontal="right" vertical="center"/>
    </xf>
    <xf numFmtId="165" fontId="0" fillId="12" borderId="8" xfId="1" applyNumberFormat="1" applyFont="1" applyFill="1" applyBorder="1" applyAlignment="1">
      <alignment horizontal="right" vertical="center"/>
    </xf>
    <xf numFmtId="165" fontId="0" fillId="13" borderId="8" xfId="1" applyNumberFormat="1" applyFont="1" applyFill="1" applyBorder="1" applyAlignment="1">
      <alignment horizontal="right" vertical="center"/>
    </xf>
    <xf numFmtId="165" fontId="0" fillId="5" borderId="8" xfId="1" applyNumberFormat="1" applyFont="1" applyFill="1" applyBorder="1" applyAlignment="1">
      <alignment horizontal="right" vertical="center"/>
    </xf>
    <xf numFmtId="165" fontId="0" fillId="10" borderId="8" xfId="1" applyNumberFormat="1" applyFont="1" applyFill="1" applyBorder="1" applyAlignment="1">
      <alignment horizontal="right" vertical="center"/>
    </xf>
    <xf numFmtId="165" fontId="0" fillId="14" borderId="8" xfId="1" applyNumberFormat="1" applyFont="1" applyFill="1" applyBorder="1" applyAlignment="1">
      <alignment horizontal="right" vertical="center"/>
    </xf>
    <xf numFmtId="165" fontId="0" fillId="3" borderId="8" xfId="1" applyNumberFormat="1" applyFont="1" applyFill="1" applyBorder="1" applyAlignment="1">
      <alignment horizontal="right" vertical="center"/>
    </xf>
    <xf numFmtId="165" fontId="0" fillId="11" borderId="8" xfId="1" applyNumberFormat="1" applyFont="1" applyFill="1" applyBorder="1" applyAlignment="1">
      <alignment horizontal="right" vertical="center"/>
    </xf>
    <xf numFmtId="0" fontId="2" fillId="2" borderId="0" xfId="0" applyFont="1" applyFill="1" applyBorder="1" applyAlignment="1">
      <alignment horizontal="left"/>
    </xf>
    <xf numFmtId="0" fontId="0" fillId="0" borderId="9" xfId="0" applyFill="1" applyBorder="1" applyAlignment="1">
      <alignment horizontal="right" vertical="center"/>
    </xf>
    <xf numFmtId="166" fontId="0" fillId="7" borderId="9" xfId="1" applyNumberFormat="1" applyFont="1" applyFill="1" applyBorder="1" applyAlignment="1">
      <alignment horizontal="center" vertical="center"/>
    </xf>
    <xf numFmtId="166" fontId="0" fillId="12" borderId="9" xfId="1" applyNumberFormat="1" applyFont="1" applyFill="1" applyBorder="1" applyAlignment="1">
      <alignment horizontal="center" vertical="center"/>
    </xf>
    <xf numFmtId="166" fontId="0" fillId="13" borderId="9" xfId="1" applyNumberFormat="1" applyFont="1" applyFill="1" applyBorder="1" applyAlignment="1">
      <alignment horizontal="center" vertical="center"/>
    </xf>
    <xf numFmtId="166" fontId="0" fillId="5" borderId="9" xfId="1" applyNumberFormat="1" applyFont="1" applyFill="1" applyBorder="1" applyAlignment="1">
      <alignment horizontal="center" vertical="center"/>
    </xf>
    <xf numFmtId="166" fontId="0" fillId="10" borderId="9" xfId="1" applyNumberFormat="1" applyFont="1" applyFill="1" applyBorder="1" applyAlignment="1">
      <alignment horizontal="center" vertical="center"/>
    </xf>
    <xf numFmtId="166" fontId="0" fillId="14" borderId="9" xfId="1" applyNumberFormat="1" applyFont="1" applyFill="1" applyBorder="1" applyAlignment="1">
      <alignment horizontal="center" vertical="center"/>
    </xf>
    <xf numFmtId="166" fontId="0" fillId="3" borderId="9" xfId="1" applyNumberFormat="1" applyFont="1" applyFill="1" applyBorder="1" applyAlignment="1">
      <alignment horizontal="center" vertical="center"/>
    </xf>
    <xf numFmtId="166" fontId="0" fillId="11" borderId="8" xfId="1" applyNumberFormat="1" applyFont="1" applyFill="1" applyBorder="1" applyAlignment="1">
      <alignment horizontal="center" vertical="center"/>
    </xf>
    <xf numFmtId="166" fontId="0" fillId="7" borderId="8" xfId="1" applyNumberFormat="1" applyFont="1" applyFill="1" applyBorder="1" applyAlignment="1">
      <alignment horizontal="center" vertical="center"/>
    </xf>
    <xf numFmtId="166" fontId="0" fillId="12" borderId="8" xfId="1" applyNumberFormat="1" applyFont="1" applyFill="1" applyBorder="1" applyAlignment="1">
      <alignment horizontal="center" vertical="center"/>
    </xf>
    <xf numFmtId="166" fontId="0" fillId="13" borderId="8" xfId="1" applyNumberFormat="1" applyFont="1" applyFill="1" applyBorder="1" applyAlignment="1">
      <alignment horizontal="center" vertical="center"/>
    </xf>
    <xf numFmtId="166" fontId="0" fillId="5" borderId="8" xfId="1" applyNumberFormat="1" applyFont="1" applyFill="1" applyBorder="1" applyAlignment="1">
      <alignment horizontal="center" vertical="center"/>
    </xf>
    <xf numFmtId="166" fontId="0" fillId="10" borderId="8" xfId="1" applyNumberFormat="1" applyFont="1" applyFill="1" applyBorder="1" applyAlignment="1">
      <alignment horizontal="center" vertical="center"/>
    </xf>
    <xf numFmtId="166" fontId="0" fillId="14" borderId="8" xfId="1" applyNumberFormat="1" applyFont="1" applyFill="1" applyBorder="1" applyAlignment="1">
      <alignment horizontal="center" vertical="center"/>
    </xf>
    <xf numFmtId="166" fontId="0" fillId="3" borderId="8" xfId="1" applyNumberFormat="1" applyFont="1" applyFill="1" applyBorder="1" applyAlignment="1">
      <alignment horizontal="center" vertical="center"/>
    </xf>
    <xf numFmtId="0" fontId="4" fillId="2" borderId="0" xfId="0" applyFont="1" applyFill="1" applyAlignment="1">
      <alignment vertical="center"/>
    </xf>
    <xf numFmtId="0" fontId="10" fillId="2" borderId="0" xfId="0" applyFont="1" applyFill="1"/>
    <xf numFmtId="0" fontId="0" fillId="0" borderId="8" xfId="0" applyFill="1" applyBorder="1" applyAlignment="1">
      <alignment horizontal="right" vertical="center"/>
    </xf>
    <xf numFmtId="166" fontId="0" fillId="0" borderId="8" xfId="1" applyNumberFormat="1" applyFont="1" applyFill="1" applyBorder="1" applyAlignment="1">
      <alignment horizontal="center" vertical="center"/>
    </xf>
    <xf numFmtId="164" fontId="0" fillId="0" borderId="8" xfId="0" applyNumberFormat="1" applyFill="1" applyBorder="1" applyAlignment="1">
      <alignment horizontal="center" vertical="center"/>
    </xf>
    <xf numFmtId="164" fontId="0" fillId="7" borderId="8" xfId="0" applyNumberFormat="1" applyFill="1" applyBorder="1" applyAlignment="1">
      <alignment horizontal="center" vertical="center"/>
    </xf>
    <xf numFmtId="164" fontId="0" fillId="12" borderId="8" xfId="0" applyNumberFormat="1" applyFill="1" applyBorder="1" applyAlignment="1">
      <alignment horizontal="center" vertical="center"/>
    </xf>
    <xf numFmtId="164" fontId="0" fillId="13" borderId="8" xfId="0" applyNumberFormat="1" applyFill="1" applyBorder="1" applyAlignment="1">
      <alignment horizontal="center" vertical="center"/>
    </xf>
    <xf numFmtId="164" fontId="0" fillId="5" borderId="8" xfId="0" applyNumberFormat="1" applyFill="1" applyBorder="1" applyAlignment="1">
      <alignment horizontal="center" vertical="center"/>
    </xf>
    <xf numFmtId="164" fontId="0" fillId="10" borderId="8" xfId="0" applyNumberFormat="1" applyFill="1" applyBorder="1" applyAlignment="1">
      <alignment horizontal="center" vertical="center"/>
    </xf>
    <xf numFmtId="164" fontId="0" fillId="14" borderId="8" xfId="0" applyNumberFormat="1" applyFill="1" applyBorder="1" applyAlignment="1">
      <alignment horizontal="center" vertical="center"/>
    </xf>
    <xf numFmtId="164" fontId="0" fillId="3" borderId="8" xfId="0" applyNumberFormat="1" applyFill="1" applyBorder="1" applyAlignment="1">
      <alignment horizontal="center" vertical="center"/>
    </xf>
    <xf numFmtId="164" fontId="0" fillId="11" borderId="8" xfId="0" applyNumberFormat="1" applyFill="1" applyBorder="1" applyAlignment="1">
      <alignment horizontal="center" vertical="center"/>
    </xf>
    <xf numFmtId="0" fontId="16" fillId="2" borderId="0" xfId="0" applyFont="1" applyFill="1" applyAlignment="1">
      <alignment horizontal="left" vertical="center" indent="5"/>
    </xf>
    <xf numFmtId="0" fontId="10" fillId="2" borderId="0" xfId="0" applyFont="1" applyFill="1" applyAlignment="1">
      <alignment horizontal="right"/>
    </xf>
    <xf numFmtId="0" fontId="0" fillId="0" borderId="8" xfId="0" applyFill="1" applyBorder="1" applyAlignment="1">
      <alignment horizontal="center" vertical="center"/>
    </xf>
    <xf numFmtId="164" fontId="0" fillId="0" borderId="8" xfId="0" applyNumberFormat="1" applyFill="1" applyBorder="1" applyAlignment="1">
      <alignment horizontal="right" vertical="center"/>
    </xf>
    <xf numFmtId="0" fontId="2" fillId="2" borderId="0" xfId="0" applyFont="1" applyFill="1" applyBorder="1" applyAlignment="1">
      <alignment horizontal="right" vertical="center"/>
    </xf>
    <xf numFmtId="164" fontId="2" fillId="2" borderId="8" xfId="0" applyNumberFormat="1" applyFont="1" applyFill="1" applyBorder="1" applyAlignment="1">
      <alignment horizontal="right" vertical="center"/>
    </xf>
    <xf numFmtId="164" fontId="2" fillId="2" borderId="8" xfId="0" applyNumberFormat="1" applyFont="1" applyFill="1" applyBorder="1" applyAlignment="1">
      <alignment horizontal="center" vertical="center"/>
    </xf>
    <xf numFmtId="0" fontId="0" fillId="2" borderId="0" xfId="0" applyFill="1" applyBorder="1" applyAlignment="1">
      <alignment horizontal="left"/>
    </xf>
    <xf numFmtId="0" fontId="6" fillId="2" borderId="0" xfId="0" applyFont="1" applyFill="1" applyBorder="1" applyAlignment="1">
      <alignment horizontal="right"/>
    </xf>
    <xf numFmtId="164" fontId="6" fillId="2" borderId="0" xfId="0" applyNumberFormat="1" applyFont="1" applyFill="1" applyBorder="1"/>
    <xf numFmtId="0" fontId="6" fillId="2" borderId="0" xfId="0" applyFont="1" applyFill="1" applyAlignment="1">
      <alignment horizontal="right" vertical="center"/>
    </xf>
    <xf numFmtId="0" fontId="6" fillId="2" borderId="0" xfId="0" applyFont="1" applyFill="1" applyAlignment="1">
      <alignment horizontal="right"/>
    </xf>
    <xf numFmtId="0" fontId="2" fillId="9" borderId="0" xfId="0" applyFont="1" applyFill="1"/>
    <xf numFmtId="0" fontId="0" fillId="9" borderId="0" xfId="0" applyFill="1"/>
    <xf numFmtId="17" fontId="6" fillId="2" borderId="0" xfId="0" applyNumberFormat="1" applyFont="1" applyFill="1"/>
    <xf numFmtId="165" fontId="6" fillId="2" borderId="0" xfId="0" applyNumberFormat="1" applyFont="1" applyFill="1"/>
    <xf numFmtId="0" fontId="6" fillId="2" borderId="0" xfId="0" applyFont="1" applyFill="1" applyAlignment="1">
      <alignment horizontal="left"/>
    </xf>
    <xf numFmtId="0" fontId="0" fillId="9" borderId="0" xfId="0" applyFill="1" applyAlignment="1">
      <alignment horizontal="right"/>
    </xf>
    <xf numFmtId="0" fontId="0" fillId="10" borderId="0" xfId="0" applyFill="1" applyAlignment="1">
      <alignment horizontal="right" vertical="center"/>
    </xf>
    <xf numFmtId="164" fontId="0" fillId="10" borderId="0" xfId="0" applyNumberFormat="1" applyFill="1" applyAlignment="1">
      <alignment horizontal="right" vertical="center"/>
    </xf>
    <xf numFmtId="0" fontId="6" fillId="2" borderId="0" xfId="0" applyFont="1" applyFill="1"/>
    <xf numFmtId="166" fontId="0" fillId="2" borderId="0" xfId="0" applyNumberFormat="1" applyFill="1" applyAlignment="1">
      <alignment horizontal="right" vertical="center"/>
    </xf>
    <xf numFmtId="0" fontId="6" fillId="2" borderId="0" xfId="0" applyFont="1" applyFill="1" applyBorder="1"/>
    <xf numFmtId="164" fontId="6" fillId="2" borderId="0" xfId="0" applyNumberFormat="1" applyFont="1" applyFill="1"/>
    <xf numFmtId="0" fontId="0" fillId="2" borderId="0" xfId="0" applyFill="1" applyBorder="1" applyAlignment="1">
      <alignment horizontal="right"/>
    </xf>
    <xf numFmtId="43" fontId="0" fillId="2" borderId="0" xfId="1" applyFont="1" applyFill="1" applyBorder="1"/>
    <xf numFmtId="165" fontId="0" fillId="7" borderId="8" xfId="0" applyNumberFormat="1" applyFill="1" applyBorder="1" applyAlignment="1">
      <alignment horizontal="center" vertical="center"/>
    </xf>
    <xf numFmtId="165" fontId="0" fillId="12" borderId="8" xfId="0" applyNumberFormat="1" applyFill="1" applyBorder="1" applyAlignment="1">
      <alignment horizontal="center" vertical="center"/>
    </xf>
    <xf numFmtId="165" fontId="0" fillId="13" borderId="8" xfId="0" applyNumberFormat="1" applyFill="1" applyBorder="1" applyAlignment="1">
      <alignment horizontal="center" vertical="center"/>
    </xf>
    <xf numFmtId="165" fontId="0" fillId="5" borderId="8" xfId="0" applyNumberFormat="1" applyFill="1" applyBorder="1" applyAlignment="1">
      <alignment horizontal="center" vertical="center"/>
    </xf>
    <xf numFmtId="165" fontId="0" fillId="10" borderId="8" xfId="0" applyNumberFormat="1" applyFill="1" applyBorder="1" applyAlignment="1">
      <alignment horizontal="center" vertical="center"/>
    </xf>
    <xf numFmtId="165" fontId="0" fillId="14" borderId="8" xfId="0" applyNumberFormat="1" applyFill="1" applyBorder="1" applyAlignment="1">
      <alignment horizontal="center" vertical="center"/>
    </xf>
    <xf numFmtId="165" fontId="0" fillId="3" borderId="8" xfId="0" applyNumberFormat="1" applyFill="1" applyBorder="1" applyAlignment="1">
      <alignment horizontal="center" vertical="center"/>
    </xf>
    <xf numFmtId="165" fontId="0" fillId="11" borderId="8" xfId="0" applyNumberFormat="1" applyFill="1" applyBorder="1" applyAlignment="1">
      <alignment horizontal="center" vertical="center"/>
    </xf>
    <xf numFmtId="164" fontId="0" fillId="2" borderId="0" xfId="0" applyNumberFormat="1" applyFill="1" applyAlignment="1">
      <alignment horizontal="right"/>
    </xf>
    <xf numFmtId="9" fontId="0" fillId="2" borderId="0" xfId="2" applyFont="1" applyFill="1" applyAlignment="1">
      <alignment horizontal="right"/>
    </xf>
    <xf numFmtId="165" fontId="0" fillId="2" borderId="0" xfId="0" applyNumberFormat="1" applyFill="1" applyAlignment="1">
      <alignment horizontal="right" vertical="center"/>
    </xf>
    <xf numFmtId="0" fontId="0" fillId="2" borderId="0" xfId="0" applyFill="1" applyAlignment="1">
      <alignment horizontal="left" vertical="center"/>
    </xf>
    <xf numFmtId="169" fontId="0" fillId="2" borderId="0" xfId="0" applyNumberFormat="1" applyFill="1" applyAlignment="1">
      <alignment horizontal="right" vertical="center"/>
    </xf>
    <xf numFmtId="17" fontId="6" fillId="2" borderId="0" xfId="0" applyNumberFormat="1" applyFont="1" applyFill="1" applyBorder="1"/>
    <xf numFmtId="165" fontId="6" fillId="2" borderId="0" xfId="0" applyNumberFormat="1" applyFont="1" applyFill="1" applyBorder="1"/>
    <xf numFmtId="167" fontId="18" fillId="2" borderId="0" xfId="0" applyNumberFormat="1" applyFont="1" applyFill="1" applyBorder="1" applyAlignment="1">
      <alignment horizontal="center"/>
    </xf>
    <xf numFmtId="0" fontId="18" fillId="2" borderId="0" xfId="0" applyFont="1" applyFill="1" applyBorder="1"/>
    <xf numFmtId="167" fontId="0" fillId="2" borderId="0" xfId="0" applyNumberFormat="1" applyFill="1"/>
    <xf numFmtId="170" fontId="0" fillId="2" borderId="0" xfId="0" applyNumberFormat="1" applyFill="1"/>
    <xf numFmtId="0" fontId="2" fillId="6" borderId="0" xfId="0" applyFont="1" applyFill="1" applyAlignment="1">
      <alignment horizontal="left" vertical="center"/>
    </xf>
    <xf numFmtId="0" fontId="0" fillId="6" borderId="0" xfId="0" applyFill="1" applyAlignment="1">
      <alignment horizontal="right" vertical="center"/>
    </xf>
    <xf numFmtId="164" fontId="0" fillId="5" borderId="0" xfId="0" applyNumberFormat="1" applyFill="1" applyAlignment="1">
      <alignment horizontal="right" vertical="center"/>
    </xf>
    <xf numFmtId="165" fontId="0" fillId="5" borderId="0" xfId="0" applyNumberFormat="1" applyFill="1" applyAlignment="1">
      <alignment horizontal="right" vertical="center"/>
    </xf>
    <xf numFmtId="0" fontId="2" fillId="15" borderId="0" xfId="0" applyFont="1" applyFill="1" applyAlignment="1">
      <alignment horizontal="left" vertical="center"/>
    </xf>
    <xf numFmtId="0" fontId="0" fillId="15" borderId="0" xfId="0" applyFill="1" applyAlignment="1">
      <alignment horizontal="right" vertical="center"/>
    </xf>
    <xf numFmtId="164" fontId="0" fillId="12" borderId="0" xfId="0" applyNumberFormat="1" applyFill="1" applyAlignment="1">
      <alignment horizontal="right" vertical="center"/>
    </xf>
    <xf numFmtId="166" fontId="0" fillId="12" borderId="0" xfId="1" applyNumberFormat="1" applyFont="1" applyFill="1" applyAlignment="1">
      <alignment horizontal="right" vertical="center"/>
    </xf>
    <xf numFmtId="165" fontId="0" fillId="12" borderId="0" xfId="0" applyNumberFormat="1" applyFill="1" applyAlignment="1">
      <alignment horizontal="right" vertical="center"/>
    </xf>
    <xf numFmtId="0" fontId="0" fillId="15" borderId="0" xfId="0" applyFill="1"/>
    <xf numFmtId="0" fontId="0" fillId="15" borderId="0" xfId="0" applyFill="1" applyAlignment="1">
      <alignment horizontal="right"/>
    </xf>
    <xf numFmtId="165" fontId="0" fillId="12" borderId="0" xfId="0" applyNumberFormat="1" applyFill="1"/>
    <xf numFmtId="164" fontId="0" fillId="12" borderId="0" xfId="0" applyNumberFormat="1" applyFill="1"/>
    <xf numFmtId="168" fontId="0" fillId="12" borderId="0" xfId="0" applyNumberFormat="1" applyFill="1"/>
    <xf numFmtId="0" fontId="2" fillId="15" borderId="0" xfId="0" applyFont="1" applyFill="1"/>
    <xf numFmtId="167" fontId="0" fillId="12" borderId="0" xfId="0" applyNumberFormat="1" applyFill="1"/>
    <xf numFmtId="166" fontId="0" fillId="2" borderId="0" xfId="1" applyNumberFormat="1" applyFont="1" applyFill="1"/>
    <xf numFmtId="17" fontId="0" fillId="2" borderId="0" xfId="0" applyNumberFormat="1" applyFill="1"/>
    <xf numFmtId="0" fontId="0" fillId="15" borderId="0" xfId="0" applyFill="1" applyAlignment="1">
      <alignment horizontal="left" vertical="center"/>
    </xf>
    <xf numFmtId="0" fontId="2" fillId="8" borderId="0" xfId="0" applyFont="1" applyFill="1"/>
    <xf numFmtId="0" fontId="0" fillId="8" borderId="0" xfId="0" applyFill="1" applyAlignment="1">
      <alignment horizontal="right"/>
    </xf>
    <xf numFmtId="0" fontId="0" fillId="7" borderId="0" xfId="0" applyFill="1"/>
    <xf numFmtId="164" fontId="0" fillId="7" borderId="0" xfId="0" applyNumberFormat="1" applyFill="1"/>
    <xf numFmtId="0" fontId="2" fillId="8" borderId="10" xfId="0" applyFont="1" applyFill="1" applyBorder="1"/>
    <xf numFmtId="0" fontId="0" fillId="8" borderId="10" xfId="0" applyFill="1" applyBorder="1"/>
    <xf numFmtId="0" fontId="0" fillId="2" borderId="0" xfId="0" applyFill="1" applyAlignment="1">
      <alignment wrapText="1"/>
    </xf>
    <xf numFmtId="0" fontId="0" fillId="16" borderId="0" xfId="0" applyFill="1"/>
    <xf numFmtId="0" fontId="0" fillId="16" borderId="0" xfId="0" applyFill="1" applyAlignment="1">
      <alignment horizontal="right"/>
    </xf>
    <xf numFmtId="165" fontId="0" fillId="5" borderId="0" xfId="0" applyNumberFormat="1" applyFill="1"/>
    <xf numFmtId="0" fontId="0" fillId="8" borderId="10" xfId="0" applyFill="1" applyBorder="1" applyAlignment="1">
      <alignment horizontal="right"/>
    </xf>
    <xf numFmtId="1" fontId="0" fillId="7" borderId="0" xfId="0" applyNumberFormat="1" applyFill="1" applyAlignment="1">
      <alignment horizontal="right"/>
    </xf>
    <xf numFmtId="1" fontId="0" fillId="7" borderId="0" xfId="0" applyNumberFormat="1" applyFill="1"/>
    <xf numFmtId="0" fontId="0" fillId="7" borderId="0" xfId="0" applyFill="1" applyAlignment="1">
      <alignment horizontal="right"/>
    </xf>
    <xf numFmtId="166" fontId="0" fillId="11" borderId="9" xfId="1" applyNumberFormat="1" applyFont="1" applyFill="1" applyBorder="1" applyAlignment="1">
      <alignment horizontal="center" vertical="center"/>
    </xf>
    <xf numFmtId="165" fontId="0" fillId="11" borderId="1" xfId="1" applyNumberFormat="1" applyFont="1" applyFill="1" applyBorder="1" applyAlignment="1" applyProtection="1">
      <alignment horizontal="right" vertical="center"/>
      <protection locked="0"/>
    </xf>
    <xf numFmtId="165" fontId="0" fillId="7" borderId="1" xfId="1" applyNumberFormat="1" applyFont="1" applyFill="1" applyBorder="1" applyAlignment="1" applyProtection="1">
      <alignment horizontal="right" vertical="center"/>
      <protection locked="0"/>
    </xf>
    <xf numFmtId="165" fontId="0" fillId="12" borderId="1" xfId="1" applyNumberFormat="1" applyFont="1" applyFill="1" applyBorder="1" applyAlignment="1" applyProtection="1">
      <alignment horizontal="right" vertical="center"/>
      <protection locked="0"/>
    </xf>
    <xf numFmtId="165" fontId="0" fillId="13" borderId="1" xfId="1" applyNumberFormat="1" applyFont="1" applyFill="1" applyBorder="1" applyAlignment="1" applyProtection="1">
      <alignment horizontal="right" vertical="center"/>
      <protection locked="0"/>
    </xf>
    <xf numFmtId="165" fontId="0" fillId="5" borderId="1" xfId="1" applyNumberFormat="1" applyFont="1" applyFill="1" applyBorder="1" applyAlignment="1" applyProtection="1">
      <alignment horizontal="right" vertical="center"/>
      <protection locked="0"/>
    </xf>
    <xf numFmtId="165" fontId="0" fillId="10" borderId="1" xfId="1" applyNumberFormat="1" applyFont="1" applyFill="1" applyBorder="1" applyAlignment="1" applyProtection="1">
      <alignment horizontal="right" vertical="center"/>
      <protection locked="0"/>
    </xf>
    <xf numFmtId="165" fontId="0" fillId="14" borderId="1" xfId="1" applyNumberFormat="1" applyFont="1" applyFill="1" applyBorder="1" applyAlignment="1" applyProtection="1">
      <alignment horizontal="right" vertical="center"/>
      <protection locked="0"/>
    </xf>
    <xf numFmtId="165" fontId="0" fillId="3" borderId="1" xfId="1" applyNumberFormat="1" applyFont="1" applyFill="1" applyBorder="1" applyAlignment="1" applyProtection="1">
      <alignment horizontal="right" vertical="center"/>
      <protection locked="0"/>
    </xf>
    <xf numFmtId="0" fontId="0" fillId="17" borderId="0" xfId="0" applyFill="1" applyAlignment="1">
      <alignment vertical="center"/>
    </xf>
    <xf numFmtId="0" fontId="0" fillId="17" borderId="0" xfId="0" applyFill="1" applyAlignment="1">
      <alignment horizontal="right" vertical="center"/>
    </xf>
    <xf numFmtId="164" fontId="0" fillId="18" borderId="0" xfId="0" applyNumberFormat="1" applyFill="1" applyAlignment="1">
      <alignment horizontal="right" vertical="center"/>
    </xf>
    <xf numFmtId="166" fontId="0" fillId="12" borderId="0" xfId="1" applyNumberFormat="1" applyFont="1" applyFill="1"/>
    <xf numFmtId="0" fontId="2" fillId="17" borderId="0" xfId="0" applyFont="1" applyFill="1" applyAlignment="1">
      <alignment vertical="center"/>
    </xf>
    <xf numFmtId="0" fontId="0" fillId="2" borderId="0" xfId="0" applyFill="1" applyAlignment="1">
      <alignment horizontal="left"/>
    </xf>
    <xf numFmtId="17" fontId="11" fillId="2" borderId="0" xfId="0" applyNumberFormat="1" applyFont="1" applyFill="1" applyAlignment="1">
      <alignment horizontal="right" vertical="center"/>
    </xf>
    <xf numFmtId="17" fontId="0" fillId="2" borderId="0" xfId="0" applyNumberFormat="1" applyFill="1" applyAlignment="1">
      <alignment horizontal="right" vertical="center"/>
    </xf>
    <xf numFmtId="0" fontId="21" fillId="2" borderId="0" xfId="0" applyFont="1" applyFill="1" applyAlignment="1">
      <alignment horizontal="left"/>
    </xf>
    <xf numFmtId="49" fontId="22" fillId="2" borderId="0" xfId="0" applyNumberFormat="1" applyFont="1" applyFill="1"/>
    <xf numFmtId="0" fontId="24" fillId="3" borderId="0" xfId="0" applyFont="1" applyFill="1" applyAlignment="1">
      <alignment horizontal="right" wrapText="1"/>
    </xf>
    <xf numFmtId="0" fontId="24" fillId="2" borderId="1" xfId="0" applyFont="1" applyFill="1" applyBorder="1" applyAlignment="1">
      <alignment horizontal="right" wrapText="1"/>
    </xf>
    <xf numFmtId="166" fontId="24" fillId="19" borderId="0" xfId="1" applyNumberFormat="1" applyFont="1" applyFill="1" applyAlignment="1">
      <alignment horizontal="right"/>
    </xf>
    <xf numFmtId="164" fontId="24" fillId="19" borderId="0" xfId="0" applyNumberFormat="1" applyFont="1" applyFill="1"/>
    <xf numFmtId="164" fontId="24" fillId="2" borderId="11" xfId="0" applyNumberFormat="1" applyFont="1" applyFill="1" applyBorder="1"/>
    <xf numFmtId="165" fontId="24" fillId="2" borderId="11" xfId="2" applyNumberFormat="1" applyFont="1" applyFill="1" applyBorder="1"/>
    <xf numFmtId="164" fontId="24" fillId="2" borderId="12" xfId="0" applyNumberFormat="1" applyFont="1" applyFill="1" applyBorder="1"/>
    <xf numFmtId="165" fontId="24" fillId="2" borderId="12" xfId="2" applyNumberFormat="1" applyFont="1" applyFill="1" applyBorder="1"/>
    <xf numFmtId="0" fontId="25" fillId="2" borderId="0" xfId="0" applyFont="1" applyFill="1" applyBorder="1"/>
    <xf numFmtId="0" fontId="24" fillId="2" borderId="0" xfId="0" applyFont="1" applyFill="1" applyBorder="1" applyAlignment="1">
      <alignment horizontal="right" wrapText="1"/>
    </xf>
    <xf numFmtId="165" fontId="24" fillId="2" borderId="11" xfId="0" applyNumberFormat="1" applyFont="1" applyFill="1" applyBorder="1"/>
    <xf numFmtId="165" fontId="24" fillId="2" borderId="0" xfId="0" applyNumberFormat="1" applyFont="1" applyFill="1" applyBorder="1"/>
    <xf numFmtId="165" fontId="24" fillId="2" borderId="12" xfId="0" applyNumberFormat="1" applyFont="1" applyFill="1" applyBorder="1"/>
    <xf numFmtId="1" fontId="0" fillId="2" borderId="0" xfId="0" applyNumberFormat="1" applyFill="1"/>
    <xf numFmtId="164" fontId="24" fillId="2" borderId="0" xfId="0" applyNumberFormat="1" applyFont="1" applyFill="1"/>
    <xf numFmtId="166" fontId="2" fillId="12" borderId="1" xfId="1" applyNumberFormat="1" applyFont="1" applyFill="1" applyBorder="1" applyAlignment="1" applyProtection="1">
      <alignment horizontal="right" vertical="center"/>
      <protection locked="0"/>
    </xf>
    <xf numFmtId="0" fontId="0" fillId="4" borderId="0" xfId="0" applyFill="1" applyAlignment="1">
      <alignment horizontal="left" vertical="center" wrapText="1"/>
    </xf>
    <xf numFmtId="0" fontId="0" fillId="9" borderId="0" xfId="0" applyFill="1" applyAlignment="1">
      <alignment horizontal="right" wrapText="1"/>
    </xf>
    <xf numFmtId="0" fontId="0" fillId="3" borderId="0" xfId="0" applyFill="1" applyAlignment="1">
      <alignment horizontal="left" wrapText="1"/>
    </xf>
    <xf numFmtId="17" fontId="0" fillId="4" borderId="2" xfId="0" applyNumberFormat="1" applyFill="1" applyBorder="1" applyAlignment="1">
      <alignment horizontal="center"/>
    </xf>
    <xf numFmtId="17" fontId="0" fillId="4" borderId="3" xfId="0" applyNumberFormat="1" applyFill="1" applyBorder="1" applyAlignment="1">
      <alignment horizontal="center"/>
    </xf>
    <xf numFmtId="17" fontId="0" fillId="4" borderId="4" xfId="0" applyNumberFormat="1" applyFill="1" applyBorder="1" applyAlignment="1">
      <alignment horizontal="center"/>
    </xf>
    <xf numFmtId="167" fontId="17" fillId="2" borderId="0" xfId="0" applyNumberFormat="1" applyFont="1" applyFill="1" applyAlignment="1">
      <alignment horizontal="center" vertical="center"/>
    </xf>
    <xf numFmtId="0" fontId="17" fillId="2" borderId="0" xfId="0" applyFont="1" applyFill="1" applyAlignment="1">
      <alignment horizontal="left" vertical="center"/>
    </xf>
    <xf numFmtId="0" fontId="0" fillId="8" borderId="0" xfId="0" applyFill="1" applyAlignment="1">
      <alignment horizontal="right" wrapText="1"/>
    </xf>
    <xf numFmtId="0" fontId="23" fillId="2" borderId="0" xfId="0" applyFont="1" applyFill="1" applyBorder="1" applyAlignment="1">
      <alignment horizontal="left" wrapText="1"/>
    </xf>
    <xf numFmtId="0" fontId="2" fillId="3" borderId="0" xfId="0" applyFont="1" applyFill="1" applyAlignment="1"/>
    <xf numFmtId="165" fontId="0" fillId="13" borderId="4" xfId="1" applyNumberFormat="1" applyFont="1" applyFill="1" applyBorder="1" applyAlignment="1">
      <alignment horizontal="right" vertical="center"/>
    </xf>
    <xf numFmtId="17" fontId="0" fillId="4" borderId="13" xfId="0" applyNumberFormat="1" applyFill="1" applyBorder="1" applyAlignment="1">
      <alignment horizontal="center"/>
    </xf>
    <xf numFmtId="165" fontId="0" fillId="12" borderId="4" xfId="1" applyNumberFormat="1" applyFont="1" applyFill="1" applyBorder="1" applyAlignment="1">
      <alignment horizontal="right" vertical="center"/>
    </xf>
    <xf numFmtId="176" fontId="0" fillId="2" borderId="0" xfId="1" applyNumberFormat="1" applyFont="1" applyFill="1"/>
    <xf numFmtId="168" fontId="0" fillId="2" borderId="0" xfId="0" applyNumberFormat="1" applyFill="1"/>
    <xf numFmtId="164" fontId="0" fillId="2" borderId="0" xfId="0" applyNumberFormat="1" applyFill="1" applyAlignment="1">
      <alignment horizontal="right" vertical="center"/>
    </xf>
    <xf numFmtId="0" fontId="2" fillId="2" borderId="0" xfId="0" applyFont="1" applyFill="1" applyAlignment="1"/>
    <xf numFmtId="0" fontId="0" fillId="3" borderId="0" xfId="0" applyFont="1" applyFill="1" applyAlignment="1"/>
  </cellXfs>
  <cellStyles count="5">
    <cellStyle name="Comma" xfId="1" builtinId="3"/>
    <cellStyle name="Comma 2" xfId="3" xr:uid="{00000000-0005-0000-0000-000001000000}"/>
    <cellStyle name="Hyperlink" xfId="4" builtinId="8"/>
    <cellStyle name="Normal" xfId="0" builtinId="0"/>
    <cellStyle name="Percent" xfId="2" builtinId="5"/>
  </cellStyles>
  <dxfs count="0"/>
  <tableStyles count="0" defaultTableStyle="TableStyleMedium2" defaultPivotStyle="PivotStyleLight16"/>
  <colors>
    <mruColors>
      <color rgb="FFCBA9E5"/>
      <color rgb="FFE2CFF1"/>
      <color rgb="FFFFCCCC"/>
      <color rgb="FFFF7C80"/>
      <color rgb="FFFF1D1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Cashflow series</a:t>
            </a:r>
          </a:p>
          <a:p>
            <a:pPr>
              <a:defRPr/>
            </a:pP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Cashflow!$C$40</c:f>
              <c:strCache>
                <c:ptCount val="1"/>
                <c:pt idx="0">
                  <c:v>Percentage change</c:v>
                </c:pt>
              </c:strCache>
            </c:strRef>
          </c:tx>
          <c:spPr>
            <a:ln w="28575" cap="rnd">
              <a:solidFill>
                <a:schemeClr val="accent2"/>
              </a:solidFill>
              <a:round/>
            </a:ln>
            <a:effectLst/>
          </c:spPr>
          <c:marker>
            <c:symbol val="none"/>
          </c:marker>
          <c:cat>
            <c:numRef>
              <c:f>Cashflow!$H$38:$AQ$38</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Cashflow!$H$40:$AQ$40</c:f>
              <c:numCache>
                <c:formatCode>0%</c:formatCode>
                <c:ptCount val="24"/>
                <c:pt idx="0">
                  <c:v>1</c:v>
                </c:pt>
                <c:pt idx="1">
                  <c:v>1.0149898260816723</c:v>
                </c:pt>
                <c:pt idx="2">
                  <c:v>1.0035068935582669</c:v>
                </c:pt>
                <c:pt idx="3">
                  <c:v>1.0100457728208145</c:v>
                </c:pt>
                <c:pt idx="4">
                  <c:v>1.0292878800611005</c:v>
                </c:pt>
                <c:pt idx="5">
                  <c:v>1.0674850390359905</c:v>
                </c:pt>
                <c:pt idx="6">
                  <c:v>1.0563178077143025</c:v>
                </c:pt>
                <c:pt idx="7">
                  <c:v>0.99512765483612098</c:v>
                </c:pt>
                <c:pt idx="8">
                  <c:v>1.0433266688338401</c:v>
                </c:pt>
                <c:pt idx="9">
                  <c:v>1.0277717990226234</c:v>
                </c:pt>
                <c:pt idx="10">
                  <c:v>1.011062997780626</c:v>
                </c:pt>
                <c:pt idx="11">
                  <c:v>0.98485510816646538</c:v>
                </c:pt>
                <c:pt idx="12">
                  <c:v>0.98058454218775393</c:v>
                </c:pt>
                <c:pt idx="13">
                  <c:v>0.99168060591032592</c:v>
                </c:pt>
                <c:pt idx="14">
                  <c:v>0.99168060591032592</c:v>
                </c:pt>
                <c:pt idx="15">
                  <c:v>0.99005971352701627</c:v>
                </c:pt>
                <c:pt idx="16">
                  <c:v>0.9908701597186711</c:v>
                </c:pt>
                <c:pt idx="17">
                  <c:v>0.9908701597186711</c:v>
                </c:pt>
                <c:pt idx="18">
                  <c:v>0.9908701597186711</c:v>
                </c:pt>
                <c:pt idx="19">
                  <c:v>0.9908701597186711</c:v>
                </c:pt>
                <c:pt idx="20">
                  <c:v>0.9908701597186711</c:v>
                </c:pt>
                <c:pt idx="21">
                  <c:v>0.9908701597186711</c:v>
                </c:pt>
                <c:pt idx="22">
                  <c:v>0.9908701597186711</c:v>
                </c:pt>
                <c:pt idx="23">
                  <c:v>0.9908701597186711</c:v>
                </c:pt>
              </c:numCache>
            </c:numRef>
          </c:val>
          <c:smooth val="0"/>
          <c:extLst>
            <c:ext xmlns:c16="http://schemas.microsoft.com/office/drawing/2014/chart" uri="{C3380CC4-5D6E-409C-BE32-E72D297353CC}">
              <c16:uniqueId val="{00000000-C3F5-4E4D-B0B2-86183991F693}"/>
            </c:ext>
          </c:extLst>
        </c:ser>
        <c:dLbls>
          <c:showLegendKey val="0"/>
          <c:showVal val="0"/>
          <c:showCatName val="0"/>
          <c:showSerName val="0"/>
          <c:showPercent val="0"/>
          <c:showBubbleSize val="0"/>
        </c:dLbls>
        <c:marker val="1"/>
        <c:smooth val="0"/>
        <c:axId val="446323592"/>
        <c:axId val="446323920"/>
      </c:lineChart>
      <c:lineChart>
        <c:grouping val="standard"/>
        <c:varyColors val="0"/>
        <c:ser>
          <c:idx val="0"/>
          <c:order val="0"/>
          <c:tx>
            <c:strRef>
              <c:f>Cashflow!$C$39</c:f>
              <c:strCache>
                <c:ptCount val="1"/>
                <c:pt idx="0">
                  <c:v>Cash change</c:v>
                </c:pt>
              </c:strCache>
            </c:strRef>
          </c:tx>
          <c:spPr>
            <a:ln w="28575" cap="rnd">
              <a:solidFill>
                <a:schemeClr val="accent1"/>
              </a:solidFill>
              <a:round/>
            </a:ln>
            <a:effectLst/>
          </c:spPr>
          <c:marker>
            <c:symbol val="none"/>
          </c:marker>
          <c:cat>
            <c:numRef>
              <c:f>Cashflow!$H$38:$AQ$38</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Cashflow!$H$39:$AQ$39</c:f>
              <c:numCache>
                <c:formatCode>"£"#,##0</c:formatCode>
                <c:ptCount val="24"/>
                <c:pt idx="0">
                  <c:v>60899.410878073766</c:v>
                </c:pt>
                <c:pt idx="1">
                  <c:v>61812.282455612396</c:v>
                </c:pt>
                <c:pt idx="2">
                  <c:v>61112.978629784331</c:v>
                </c:pt>
                <c:pt idx="3">
                  <c:v>61511.192524676335</c:v>
                </c:pt>
                <c:pt idx="4">
                  <c:v>62683.025519662471</c:v>
                </c:pt>
                <c:pt idx="5">
                  <c:v>65009.209998449398</c:v>
                </c:pt>
                <c:pt idx="6">
                  <c:v>64329.132189819429</c:v>
                </c:pt>
                <c:pt idx="7">
                  <c:v>60602.687927998901</c:v>
                </c:pt>
                <c:pt idx="8">
                  <c:v>63537.97948536402</c:v>
                </c:pt>
                <c:pt idx="9">
                  <c:v>62590.697077575795</c:v>
                </c:pt>
                <c:pt idx="10">
                  <c:v>61573.140925459324</c:v>
                </c:pt>
                <c:pt idx="11">
                  <c:v>59977.09588759936</c:v>
                </c:pt>
                <c:pt idx="12">
                  <c:v>59717.020935379885</c:v>
                </c:pt>
                <c:pt idx="13">
                  <c:v>60392.764679150088</c:v>
                </c:pt>
                <c:pt idx="14">
                  <c:v>60392.764679150088</c:v>
                </c:pt>
                <c:pt idx="15">
                  <c:v>60294.053287909774</c:v>
                </c:pt>
                <c:pt idx="16">
                  <c:v>60343.408983529931</c:v>
                </c:pt>
                <c:pt idx="17">
                  <c:v>60343.408983529931</c:v>
                </c:pt>
                <c:pt idx="18">
                  <c:v>60343.408983529931</c:v>
                </c:pt>
                <c:pt idx="19">
                  <c:v>60343.408983529931</c:v>
                </c:pt>
                <c:pt idx="20">
                  <c:v>60343.408983529931</c:v>
                </c:pt>
                <c:pt idx="21">
                  <c:v>60343.408983529931</c:v>
                </c:pt>
                <c:pt idx="22">
                  <c:v>60343.408983529931</c:v>
                </c:pt>
                <c:pt idx="23">
                  <c:v>60343.408983529931</c:v>
                </c:pt>
              </c:numCache>
            </c:numRef>
          </c:val>
          <c:smooth val="0"/>
          <c:extLst>
            <c:ext xmlns:c16="http://schemas.microsoft.com/office/drawing/2014/chart" uri="{C3380CC4-5D6E-409C-BE32-E72D297353CC}">
              <c16:uniqueId val="{00000001-C3F5-4E4D-B0B2-86183991F693}"/>
            </c:ext>
          </c:extLst>
        </c:ser>
        <c:dLbls>
          <c:showLegendKey val="0"/>
          <c:showVal val="0"/>
          <c:showCatName val="0"/>
          <c:showSerName val="0"/>
          <c:showPercent val="0"/>
          <c:showBubbleSize val="0"/>
        </c:dLbls>
        <c:marker val="1"/>
        <c:smooth val="0"/>
        <c:axId val="442515144"/>
        <c:axId val="527505344"/>
      </c:lineChart>
      <c:dateAx>
        <c:axId val="446323592"/>
        <c:scaling>
          <c:orientation val="minMax"/>
        </c:scaling>
        <c:delete val="0"/>
        <c:axPos val="b"/>
        <c:numFmt formatCode="mm/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23920"/>
        <c:crosses val="autoZero"/>
        <c:auto val="1"/>
        <c:lblOffset val="100"/>
        <c:baseTimeUnit val="months"/>
      </c:dateAx>
      <c:valAx>
        <c:axId val="446323920"/>
        <c:scaling>
          <c:orientation val="minMax"/>
          <c:max val="1.25"/>
          <c:min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23592"/>
        <c:crosses val="autoZero"/>
        <c:crossBetween val="between"/>
      </c:valAx>
      <c:valAx>
        <c:axId val="527505344"/>
        <c:scaling>
          <c:orientation val="minMax"/>
        </c:scaling>
        <c:delete val="0"/>
        <c:axPos val="r"/>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515144"/>
        <c:crosses val="max"/>
        <c:crossBetween val="between"/>
      </c:valAx>
      <c:dateAx>
        <c:axId val="442515144"/>
        <c:scaling>
          <c:orientation val="minMax"/>
        </c:scaling>
        <c:delete val="1"/>
        <c:axPos val="b"/>
        <c:numFmt formatCode="mmm\-yy" sourceLinked="1"/>
        <c:majorTickMark val="out"/>
        <c:minorTickMark val="none"/>
        <c:tickLblPos val="nextTo"/>
        <c:crossAx val="527505344"/>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95250</xdr:rowOff>
    </xdr:from>
    <xdr:to>
      <xdr:col>13</xdr:col>
      <xdr:colOff>0</xdr:colOff>
      <xdr:row>6</xdr:row>
      <xdr:rowOff>142876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0075" y="771525"/>
          <a:ext cx="7324725" cy="619126"/>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following calculator</a:t>
          </a:r>
          <a:r>
            <a:rPr lang="en-GB" sz="1100" baseline="0">
              <a:latin typeface="+mn-lt"/>
            </a:rPr>
            <a:t> </a:t>
          </a:r>
          <a:r>
            <a:rPr lang="en-GB" sz="1100">
              <a:latin typeface="+mn-lt"/>
            </a:rPr>
            <a:t>illustrates indicative income levels and cashflow changes that could be expected by an average pharmacy in £ (sterling) for Essential Services provided under the Community Pharmacy Contractual Framework. These figures are based on the imposition for 2016/17 and 2017/18 and Cat M reimbursement reductions</a:t>
          </a:r>
          <a:r>
            <a:rPr lang="en-GB" sz="1100" baseline="0">
              <a:latin typeface="+mn-lt"/>
            </a:rPr>
            <a:t> from August 2017, and </a:t>
          </a:r>
          <a:r>
            <a:rPr lang="en-GB" sz="1100">
              <a:latin typeface="+mn-lt"/>
            </a:rPr>
            <a:t>are outlined in relation to dispensing volume. </a:t>
          </a:r>
        </a:p>
      </xdr:txBody>
    </xdr:sp>
    <xdr:clientData/>
  </xdr:twoCellAnchor>
  <xdr:twoCellAnchor>
    <xdr:from>
      <xdr:col>0</xdr:col>
      <xdr:colOff>590550</xdr:colOff>
      <xdr:row>7</xdr:row>
      <xdr:rowOff>28575</xdr:rowOff>
    </xdr:from>
    <xdr:to>
      <xdr:col>13</xdr:col>
      <xdr:colOff>19050</xdr:colOff>
      <xdr:row>9</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0550" y="1466850"/>
          <a:ext cx="9086850" cy="4762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calculator</a:t>
          </a:r>
          <a:r>
            <a:rPr lang="en-GB" sz="1100" baseline="0">
              <a:latin typeface="+mn-lt"/>
            </a:rPr>
            <a:t> allows you to enter a figure for monthly item volume, from which an indicative monthly income is calculated.  The calculator includes national AIV values for the purposes of calculating indicative reimbursement, these may be substitued for the pharmacy's own AIV values where these are known for a more accurate result. </a:t>
          </a:r>
          <a:endParaRPr lang="en-GB" sz="1100">
            <a:latin typeface="+mn-lt"/>
          </a:endParaRPr>
        </a:p>
      </xdr:txBody>
    </xdr:sp>
    <xdr:clientData/>
  </xdr:twoCellAnchor>
  <xdr:twoCellAnchor editAs="oneCell">
    <xdr:from>
      <xdr:col>12</xdr:col>
      <xdr:colOff>200025</xdr:colOff>
      <xdr:row>22</xdr:row>
      <xdr:rowOff>180975</xdr:rowOff>
    </xdr:from>
    <xdr:to>
      <xdr:col>12</xdr:col>
      <xdr:colOff>1324610</xdr:colOff>
      <xdr:row>26</xdr:row>
      <xdr:rowOff>57785</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87" t="5808" r="5226" b="4100"/>
        <a:stretch/>
      </xdr:blipFill>
      <xdr:spPr bwMode="auto">
        <a:xfrm>
          <a:off x="8543925" y="5314950"/>
          <a:ext cx="1124585" cy="8102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1464945</xdr:colOff>
      <xdr:row>22</xdr:row>
      <xdr:rowOff>231140</xdr:rowOff>
    </xdr:from>
    <xdr:to>
      <xdr:col>12</xdr:col>
      <xdr:colOff>2415540</xdr:colOff>
      <xdr:row>26</xdr:row>
      <xdr:rowOff>55880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911" t="4620" r="5894" b="11646"/>
        <a:stretch/>
      </xdr:blipFill>
      <xdr:spPr bwMode="auto">
        <a:xfrm>
          <a:off x="9808845" y="5365115"/>
          <a:ext cx="1283970" cy="75819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40481</xdr:colOff>
      <xdr:row>43</xdr:row>
      <xdr:rowOff>85459</xdr:rowOff>
    </xdr:from>
    <xdr:to>
      <xdr:col>36</xdr:col>
      <xdr:colOff>114300</xdr:colOff>
      <xdr:row>68</xdr:row>
      <xdr:rowOff>71438</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igby/AppData/Local/Microsoft/Windows/INetCache/Content.Outlook/V5Y8V9MT/Forecasting(toMay16itemsApr16cost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 drug tariff"/>
      <sheetName val="Data"/>
      <sheetName val="PrescriptionsForecast"/>
      <sheetName val="MURForecast"/>
      <sheetName val="MURForecast2"/>
      <sheetName val="Ex &amp; CP"/>
      <sheetName val="PreRegTraineesForecast"/>
      <sheetName val="Forecast"/>
      <sheetName val="ContractSum"/>
      <sheetName val="Historic"/>
      <sheetName val="Ts_inc forecast"/>
      <sheetName val="AUR Stoma split"/>
      <sheetName val="Sheet1"/>
      <sheetName val="Items annual"/>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E2" t="str">
            <v>Financial Year Actual/Forecast Accruals Basis</v>
          </cell>
        </row>
        <row r="14">
          <cell r="E14" t="str">
            <v>2005/6 Actual</v>
          </cell>
        </row>
        <row r="15">
          <cell r="E15" t="str">
            <v>2005/6 Actual</v>
          </cell>
        </row>
        <row r="16">
          <cell r="E16" t="str">
            <v>2005/6 Actual</v>
          </cell>
        </row>
        <row r="17">
          <cell r="E17" t="str">
            <v>2005/6 Actual</v>
          </cell>
        </row>
        <row r="18">
          <cell r="E18" t="str">
            <v>2005/6 Actual</v>
          </cell>
        </row>
        <row r="19">
          <cell r="E19" t="str">
            <v>2005/6 Actual</v>
          </cell>
        </row>
        <row r="20">
          <cell r="E20" t="str">
            <v>2005/6 Actual</v>
          </cell>
        </row>
        <row r="21">
          <cell r="E21" t="str">
            <v>2005/6 Actual</v>
          </cell>
        </row>
        <row r="22">
          <cell r="E22" t="str">
            <v>2005/6 Actual</v>
          </cell>
        </row>
        <row r="23">
          <cell r="E23" t="str">
            <v>2005/6 Actual</v>
          </cell>
        </row>
        <row r="24">
          <cell r="E24" t="str">
            <v>2005/6 Actual</v>
          </cell>
        </row>
        <row r="25">
          <cell r="E25" t="str">
            <v>2005/6 Actual</v>
          </cell>
        </row>
        <row r="26">
          <cell r="E26" t="str">
            <v>2006/7 Actual</v>
          </cell>
        </row>
        <row r="27">
          <cell r="E27" t="str">
            <v>2006/7 Actual</v>
          </cell>
        </row>
        <row r="28">
          <cell r="E28" t="str">
            <v>2006/7 Actual</v>
          </cell>
        </row>
        <row r="29">
          <cell r="E29" t="str">
            <v>2006/7 Actual</v>
          </cell>
        </row>
        <row r="30">
          <cell r="E30" t="str">
            <v>2006/7 Actual</v>
          </cell>
        </row>
        <row r="31">
          <cell r="E31" t="str">
            <v>2006/7 Actual</v>
          </cell>
        </row>
        <row r="32">
          <cell r="E32" t="str">
            <v>2006/7 Actual</v>
          </cell>
        </row>
        <row r="33">
          <cell r="E33" t="str">
            <v>2006/7 Actual</v>
          </cell>
        </row>
        <row r="34">
          <cell r="E34" t="str">
            <v>2006/7 Actual</v>
          </cell>
        </row>
        <row r="35">
          <cell r="E35" t="str">
            <v>2006/7 Actual</v>
          </cell>
        </row>
        <row r="36">
          <cell r="E36" t="str">
            <v>2006/7 Actual</v>
          </cell>
        </row>
        <row r="37">
          <cell r="E37" t="str">
            <v>2006/7 Actual</v>
          </cell>
        </row>
        <row r="38">
          <cell r="E38" t="str">
            <v>2007/8 Actual</v>
          </cell>
        </row>
        <row r="39">
          <cell r="E39" t="str">
            <v>2007/8 Actual</v>
          </cell>
        </row>
        <row r="40">
          <cell r="E40" t="str">
            <v>2007/8 Actual</v>
          </cell>
        </row>
        <row r="41">
          <cell r="E41" t="str">
            <v>2007/8 Actual</v>
          </cell>
        </row>
        <row r="42">
          <cell r="E42" t="str">
            <v>2007/8 Actual</v>
          </cell>
        </row>
        <row r="43">
          <cell r="E43" t="str">
            <v>2007/8 Actual</v>
          </cell>
        </row>
        <row r="44">
          <cell r="E44" t="str">
            <v>2007/8 Actual</v>
          </cell>
        </row>
        <row r="45">
          <cell r="E45" t="str">
            <v>2007/8 Actual</v>
          </cell>
        </row>
        <row r="46">
          <cell r="E46" t="str">
            <v>2007/8 Actual</v>
          </cell>
        </row>
        <row r="47">
          <cell r="E47" t="str">
            <v>2007/8 Actual</v>
          </cell>
        </row>
        <row r="48">
          <cell r="E48" t="str">
            <v>2007/8 Actual</v>
          </cell>
        </row>
        <row r="49">
          <cell r="E49" t="str">
            <v>2007/8 Actual</v>
          </cell>
        </row>
        <row r="50">
          <cell r="E50" t="str">
            <v>2008/9 Actual</v>
          </cell>
        </row>
        <row r="51">
          <cell r="E51" t="str">
            <v>2008/9 Actual</v>
          </cell>
        </row>
        <row r="52">
          <cell r="E52" t="str">
            <v>2008/9 Actual</v>
          </cell>
        </row>
        <row r="53">
          <cell r="E53" t="str">
            <v>2008/9 Actual</v>
          </cell>
        </row>
        <row r="54">
          <cell r="E54" t="str">
            <v>2008/9 Actual</v>
          </cell>
        </row>
        <row r="55">
          <cell r="E55" t="str">
            <v>2008/9 Actual</v>
          </cell>
        </row>
        <row r="56">
          <cell r="E56" t="str">
            <v>2008/9 Actual</v>
          </cell>
        </row>
        <row r="57">
          <cell r="E57" t="str">
            <v>2008/9 Actual</v>
          </cell>
        </row>
        <row r="58">
          <cell r="E58" t="str">
            <v>2008/9 Actual</v>
          </cell>
        </row>
        <row r="59">
          <cell r="E59" t="str">
            <v>2008/9 Actual</v>
          </cell>
        </row>
        <row r="60">
          <cell r="E60" t="str">
            <v>2008/9 Actual</v>
          </cell>
        </row>
        <row r="61">
          <cell r="E61" t="str">
            <v>2008/9 Actual</v>
          </cell>
        </row>
        <row r="62">
          <cell r="E62" t="str">
            <v>2009/10 Actual</v>
          </cell>
        </row>
        <row r="63">
          <cell r="E63" t="str">
            <v>2009/10 Actual</v>
          </cell>
        </row>
        <row r="64">
          <cell r="E64" t="str">
            <v>2009/10 Actual</v>
          </cell>
        </row>
        <row r="65">
          <cell r="E65" t="str">
            <v>2009/10 Actual</v>
          </cell>
        </row>
        <row r="66">
          <cell r="E66" t="str">
            <v>2009/10 Actual</v>
          </cell>
        </row>
        <row r="67">
          <cell r="E67" t="str">
            <v>2009/10 Actual</v>
          </cell>
        </row>
        <row r="68">
          <cell r="E68" t="str">
            <v>2009/10 Actual</v>
          </cell>
        </row>
        <row r="69">
          <cell r="E69" t="str">
            <v>2009/10 Actual</v>
          </cell>
        </row>
        <row r="70">
          <cell r="E70" t="str">
            <v>2009/10 Actual</v>
          </cell>
        </row>
        <row r="71">
          <cell r="E71" t="str">
            <v>2009/10 Actual</v>
          </cell>
        </row>
        <row r="72">
          <cell r="E72" t="str">
            <v>2009/10 Actual</v>
          </cell>
        </row>
        <row r="73">
          <cell r="E73" t="str">
            <v>2009/10 Actual</v>
          </cell>
        </row>
        <row r="74">
          <cell r="E74" t="str">
            <v>2010/11 Actual</v>
          </cell>
        </row>
        <row r="75">
          <cell r="E75" t="str">
            <v>2010/11 Actual</v>
          </cell>
        </row>
        <row r="76">
          <cell r="E76" t="str">
            <v>2010/11 Actual</v>
          </cell>
        </row>
        <row r="77">
          <cell r="E77" t="str">
            <v>2010/11 Actual</v>
          </cell>
        </row>
        <row r="78">
          <cell r="E78" t="str">
            <v>2010/11 Actual</v>
          </cell>
        </row>
        <row r="79">
          <cell r="E79" t="str">
            <v>2010/11 Actual</v>
          </cell>
        </row>
        <row r="80">
          <cell r="E80" t="str">
            <v>2010/11 Actual</v>
          </cell>
        </row>
        <row r="81">
          <cell r="E81" t="str">
            <v>2010/11 Actual</v>
          </cell>
        </row>
        <row r="82">
          <cell r="E82" t="str">
            <v>2010/11 Actual</v>
          </cell>
        </row>
        <row r="83">
          <cell r="E83" t="str">
            <v>2010/11 Actual</v>
          </cell>
        </row>
        <row r="84">
          <cell r="E84" t="str">
            <v>2010/11 Actual</v>
          </cell>
        </row>
        <row r="85">
          <cell r="E85" t="str">
            <v>2010/11 Actual</v>
          </cell>
        </row>
        <row r="86">
          <cell r="E86" t="str">
            <v>2011/12 Actual</v>
          </cell>
        </row>
        <row r="87">
          <cell r="E87" t="str">
            <v>2011/12 Actual</v>
          </cell>
        </row>
        <row r="88">
          <cell r="E88" t="str">
            <v>2011/12 Actual</v>
          </cell>
        </row>
        <row r="89">
          <cell r="E89" t="str">
            <v>2011/12 Actual</v>
          </cell>
        </row>
        <row r="90">
          <cell r="E90" t="str">
            <v>2011/12 Actual</v>
          </cell>
        </row>
        <row r="91">
          <cell r="E91" t="str">
            <v>2011/12 Actual</v>
          </cell>
        </row>
        <row r="92">
          <cell r="E92" t="str">
            <v>2011/12 Actual</v>
          </cell>
        </row>
        <row r="93">
          <cell r="E93" t="str">
            <v>2011/12 Actual</v>
          </cell>
        </row>
        <row r="94">
          <cell r="E94" t="str">
            <v>2011/12 Actual</v>
          </cell>
        </row>
        <row r="95">
          <cell r="E95" t="str">
            <v>2011/12 Actual</v>
          </cell>
        </row>
        <row r="96">
          <cell r="E96" t="str">
            <v>2011/12 Actual</v>
          </cell>
        </row>
        <row r="97">
          <cell r="E97" t="str">
            <v>2011/12 Actual</v>
          </cell>
        </row>
        <row r="98">
          <cell r="E98" t="str">
            <v>2012/13 Actual</v>
          </cell>
        </row>
        <row r="99">
          <cell r="E99" t="str">
            <v>2012/13 Actual</v>
          </cell>
        </row>
        <row r="100">
          <cell r="E100" t="str">
            <v>2012/13 Actual</v>
          </cell>
        </row>
        <row r="101">
          <cell r="E101" t="str">
            <v>2012/13 Actual</v>
          </cell>
        </row>
        <row r="102">
          <cell r="E102" t="str">
            <v>2012/13 Actual</v>
          </cell>
        </row>
        <row r="103">
          <cell r="E103" t="str">
            <v>2012/13 Actual</v>
          </cell>
        </row>
        <row r="104">
          <cell r="E104" t="str">
            <v>2012/13 Actual</v>
          </cell>
        </row>
        <row r="105">
          <cell r="E105" t="str">
            <v>2012/13 Actual</v>
          </cell>
        </row>
        <row r="106">
          <cell r="E106" t="str">
            <v>2012/13 Actual</v>
          </cell>
        </row>
        <row r="107">
          <cell r="E107" t="str">
            <v>2012/13 Actual</v>
          </cell>
        </row>
        <row r="108">
          <cell r="E108" t="str">
            <v>2012/13 Actual</v>
          </cell>
        </row>
        <row r="109">
          <cell r="E109" t="str">
            <v>2012/13 Actual</v>
          </cell>
        </row>
        <row r="110">
          <cell r="E110" t="str">
            <v>2013/14 Actual</v>
          </cell>
        </row>
        <row r="111">
          <cell r="E111" t="str">
            <v>2013/14 Actual</v>
          </cell>
        </row>
        <row r="112">
          <cell r="E112" t="str">
            <v>2013/14 Actual</v>
          </cell>
        </row>
        <row r="113">
          <cell r="E113" t="str">
            <v>2013/14 Actual</v>
          </cell>
        </row>
        <row r="114">
          <cell r="E114" t="str">
            <v>2013/14 Actual</v>
          </cell>
        </row>
        <row r="115">
          <cell r="E115" t="str">
            <v>2013/14 Actual</v>
          </cell>
        </row>
        <row r="116">
          <cell r="E116" t="str">
            <v>2013/14 Actual</v>
          </cell>
        </row>
        <row r="117">
          <cell r="E117" t="str">
            <v>2013/14 Actual</v>
          </cell>
        </row>
        <row r="118">
          <cell r="E118" t="str">
            <v>2013/14 Actual</v>
          </cell>
        </row>
        <row r="119">
          <cell r="E119" t="str">
            <v>2013/14 Actual</v>
          </cell>
        </row>
        <row r="120">
          <cell r="E120" t="str">
            <v>2013/14 Actual</v>
          </cell>
        </row>
        <row r="121">
          <cell r="E121" t="str">
            <v>2013/14 Actual</v>
          </cell>
        </row>
        <row r="122">
          <cell r="E122" t="str">
            <v>2014/15 Actual</v>
          </cell>
        </row>
        <row r="123">
          <cell r="E123" t="str">
            <v>2014/15 Actual</v>
          </cell>
        </row>
        <row r="124">
          <cell r="E124" t="str">
            <v>2014/15 Actual</v>
          </cell>
        </row>
        <row r="125">
          <cell r="E125" t="str">
            <v>2014/15 Actual</v>
          </cell>
        </row>
        <row r="126">
          <cell r="E126" t="str">
            <v>2014/15 Actual</v>
          </cell>
        </row>
        <row r="127">
          <cell r="E127" t="str">
            <v>2014/15 Actual</v>
          </cell>
        </row>
        <row r="128">
          <cell r="E128" t="str">
            <v>2014/15 Actual</v>
          </cell>
        </row>
        <row r="129">
          <cell r="E129" t="str">
            <v>2014/15 Actual</v>
          </cell>
        </row>
        <row r="130">
          <cell r="E130" t="str">
            <v>2014/15 Actual</v>
          </cell>
        </row>
        <row r="131">
          <cell r="E131" t="str">
            <v>2014/15 Actual</v>
          </cell>
        </row>
        <row r="132">
          <cell r="E132" t="str">
            <v>2014/15 Actual</v>
          </cell>
        </row>
        <row r="133">
          <cell r="E133" t="str">
            <v>2014/15 Actual</v>
          </cell>
        </row>
        <row r="134">
          <cell r="E134" t="str">
            <v>2015/16 Actual</v>
          </cell>
        </row>
        <row r="135">
          <cell r="E135" t="str">
            <v>2015/16 Actual</v>
          </cell>
        </row>
        <row r="136">
          <cell r="E136" t="str">
            <v>2015/16 Actual</v>
          </cell>
        </row>
        <row r="137">
          <cell r="E137" t="str">
            <v>2015/16 Actual</v>
          </cell>
        </row>
        <row r="138">
          <cell r="E138" t="str">
            <v>2015/16 Actual</v>
          </cell>
        </row>
        <row r="139">
          <cell r="E139" t="str">
            <v>2015/16 Actual</v>
          </cell>
        </row>
        <row r="140">
          <cell r="E140" t="str">
            <v>2015/16 Actual</v>
          </cell>
        </row>
        <row r="141">
          <cell r="E141" t="str">
            <v>2015/16 Actual</v>
          </cell>
        </row>
        <row r="142">
          <cell r="E142" t="str">
            <v>2015/16 Actual</v>
          </cell>
        </row>
        <row r="143">
          <cell r="E143" t="str">
            <v>2015/16 Actual</v>
          </cell>
        </row>
        <row r="144">
          <cell r="E144" t="str">
            <v>2015/16 Actual</v>
          </cell>
        </row>
        <row r="145">
          <cell r="E145" t="str">
            <v>2015/16 Actual</v>
          </cell>
        </row>
        <row r="146">
          <cell r="E146" t="str">
            <v>2016/17 Actual</v>
          </cell>
        </row>
        <row r="147">
          <cell r="E147" t="str">
            <v>2016/17 Forecast</v>
          </cell>
        </row>
        <row r="148">
          <cell r="E148" t="str">
            <v>2016/17 Forecast</v>
          </cell>
        </row>
        <row r="149">
          <cell r="E149" t="str">
            <v>2016/17 Forecast</v>
          </cell>
        </row>
        <row r="150">
          <cell r="E150" t="str">
            <v>2016/17 Forecast</v>
          </cell>
        </row>
        <row r="151">
          <cell r="E151" t="str">
            <v>2016/17 Forecast</v>
          </cell>
        </row>
        <row r="152">
          <cell r="E152" t="str">
            <v>2016/17 Forecast</v>
          </cell>
        </row>
        <row r="153">
          <cell r="E153" t="str">
            <v>2016/17 Forecast</v>
          </cell>
        </row>
        <row r="154">
          <cell r="E154" t="str">
            <v>2016/17 Forecast</v>
          </cell>
        </row>
        <row r="155">
          <cell r="E155" t="str">
            <v>2016/17 Forecast</v>
          </cell>
        </row>
        <row r="156">
          <cell r="E156" t="str">
            <v>2016/17 Forecast</v>
          </cell>
        </row>
        <row r="157">
          <cell r="E157" t="str">
            <v>2016/17 Forecast</v>
          </cell>
        </row>
        <row r="158">
          <cell r="E158" t="str">
            <v>2017/18 Forecast</v>
          </cell>
        </row>
        <row r="159">
          <cell r="E159" t="str">
            <v>2017/18 Forecast</v>
          </cell>
        </row>
        <row r="160">
          <cell r="E160" t="str">
            <v>2017/18 Forecast</v>
          </cell>
        </row>
        <row r="161">
          <cell r="E161" t="str">
            <v>2017/18 Forecast</v>
          </cell>
        </row>
        <row r="162">
          <cell r="E162" t="str">
            <v>2017/18 Forecast</v>
          </cell>
        </row>
        <row r="163">
          <cell r="E163" t="str">
            <v>2017/18 Forecast</v>
          </cell>
        </row>
        <row r="164">
          <cell r="E164" t="str">
            <v>2017/18 Forecast</v>
          </cell>
        </row>
        <row r="165">
          <cell r="E165" t="str">
            <v>2017/18 Forecast</v>
          </cell>
        </row>
        <row r="166">
          <cell r="E166" t="str">
            <v>2017/18 Forecast</v>
          </cell>
        </row>
        <row r="167">
          <cell r="E167" t="str">
            <v>2017/18 Forecast</v>
          </cell>
        </row>
        <row r="168">
          <cell r="E168" t="str">
            <v>2017/18 Forecast</v>
          </cell>
        </row>
        <row r="169">
          <cell r="E169" t="str">
            <v>2017/18 Forecast</v>
          </cell>
        </row>
        <row r="170">
          <cell r="E170" t="str">
            <v>2018/19 Forecast</v>
          </cell>
        </row>
        <row r="171">
          <cell r="E171" t="str">
            <v>2018/19 Forecast</v>
          </cell>
        </row>
        <row r="172">
          <cell r="E172" t="str">
            <v>2018/19 Forecast</v>
          </cell>
        </row>
        <row r="173">
          <cell r="E173" t="str">
            <v>2018/19 Forecast</v>
          </cell>
        </row>
        <row r="174">
          <cell r="E174" t="str">
            <v>2018/19 Forecast</v>
          </cell>
        </row>
        <row r="175">
          <cell r="E175" t="str">
            <v>2018/19 Forecast</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39997558519241921"/>
  </sheetPr>
  <dimension ref="A3:M26"/>
  <sheetViews>
    <sheetView tabSelected="1" workbookViewId="0">
      <selection activeCell="B23" sqref="B23"/>
    </sheetView>
  </sheetViews>
  <sheetFormatPr defaultColWidth="9.140625" defaultRowHeight="15" x14ac:dyDescent="0.25"/>
  <cols>
    <col min="1" max="1" width="9.140625" style="1"/>
    <col min="2" max="2" width="14.28515625" style="1" customWidth="1"/>
    <col min="3" max="12" width="9.140625" style="1"/>
    <col min="13" max="13" width="42.28515625" style="1" customWidth="1"/>
    <col min="14" max="16384" width="9.140625" style="1"/>
  </cols>
  <sheetData>
    <row r="3" spans="2:13" ht="21" x14ac:dyDescent="0.25">
      <c r="B3" s="15" t="s">
        <v>73</v>
      </c>
    </row>
    <row r="9" spans="2:13" s="6" customFormat="1" x14ac:dyDescent="0.25"/>
    <row r="10" spans="2:13" s="6" customFormat="1" x14ac:dyDescent="0.25"/>
    <row r="11" spans="2:13" s="6" customFormat="1" x14ac:dyDescent="0.25"/>
    <row r="12" spans="2:13" ht="25.5" customHeight="1" x14ac:dyDescent="0.25">
      <c r="B12" s="21" t="s">
        <v>9</v>
      </c>
      <c r="C12" s="12" t="s">
        <v>10</v>
      </c>
      <c r="D12" s="3"/>
      <c r="E12" s="3"/>
      <c r="F12" s="3"/>
      <c r="G12" s="3"/>
      <c r="H12" s="3"/>
      <c r="I12" s="3"/>
      <c r="J12" s="3"/>
      <c r="K12" s="3"/>
      <c r="L12" s="3"/>
      <c r="M12" s="3"/>
    </row>
    <row r="13" spans="2:13" ht="27.75" customHeight="1" x14ac:dyDescent="0.25">
      <c r="B13" s="3"/>
      <c r="C13" s="184" t="s">
        <v>74</v>
      </c>
      <c r="D13" s="184"/>
      <c r="E13" s="184"/>
      <c r="F13" s="184"/>
      <c r="G13" s="184"/>
      <c r="H13" s="184"/>
      <c r="I13" s="184"/>
      <c r="J13" s="184"/>
      <c r="K13" s="184"/>
      <c r="L13" s="184"/>
      <c r="M13" s="184"/>
    </row>
    <row r="14" spans="2:13" ht="21.75" customHeight="1" x14ac:dyDescent="0.25">
      <c r="B14" s="5"/>
      <c r="C14" s="12" t="s">
        <v>75</v>
      </c>
      <c r="D14" s="3"/>
      <c r="E14" s="3"/>
      <c r="F14" s="3"/>
      <c r="G14" s="3"/>
      <c r="H14" s="3"/>
      <c r="I14" s="3"/>
      <c r="J14" s="3"/>
      <c r="K14" s="3"/>
      <c r="L14" s="3"/>
      <c r="M14" s="3"/>
    </row>
    <row r="15" spans="2:13" ht="21.75" customHeight="1" x14ac:dyDescent="0.25">
      <c r="B15" s="5"/>
      <c r="C15" s="184" t="s">
        <v>76</v>
      </c>
      <c r="D15" s="184"/>
      <c r="E15" s="184"/>
      <c r="F15" s="184"/>
      <c r="G15" s="184"/>
      <c r="H15" s="184"/>
      <c r="I15" s="184"/>
      <c r="J15" s="184"/>
      <c r="K15" s="184"/>
      <c r="L15" s="184"/>
      <c r="M15" s="184"/>
    </row>
    <row r="16" spans="2:13" s="6" customFormat="1" ht="21.75" customHeight="1" x14ac:dyDescent="0.25">
      <c r="B16" s="5"/>
      <c r="C16" s="184"/>
      <c r="D16" s="184"/>
      <c r="E16" s="184"/>
      <c r="F16" s="184"/>
      <c r="G16" s="184"/>
      <c r="H16" s="184"/>
      <c r="I16" s="184"/>
      <c r="J16" s="184"/>
      <c r="K16" s="184"/>
      <c r="L16" s="184"/>
      <c r="M16" s="184"/>
    </row>
    <row r="17" spans="1:13" ht="27" customHeight="1" x14ac:dyDescent="0.25">
      <c r="B17" s="5"/>
      <c r="C17" s="184" t="s">
        <v>6</v>
      </c>
      <c r="D17" s="184"/>
      <c r="E17" s="184"/>
      <c r="F17" s="184"/>
      <c r="G17" s="184"/>
      <c r="H17" s="184"/>
      <c r="I17" s="184"/>
      <c r="J17" s="184"/>
      <c r="K17" s="184"/>
      <c r="L17" s="184"/>
      <c r="M17" s="184"/>
    </row>
    <row r="18" spans="1:13" s="6" customFormat="1" ht="27" customHeight="1" x14ac:dyDescent="0.25">
      <c r="B18" s="5"/>
      <c r="C18" s="184"/>
      <c r="D18" s="184"/>
      <c r="E18" s="184"/>
      <c r="F18" s="184"/>
      <c r="G18" s="184"/>
      <c r="H18" s="184"/>
      <c r="I18" s="184"/>
      <c r="J18" s="184"/>
      <c r="K18" s="184"/>
      <c r="L18" s="184"/>
      <c r="M18" s="184"/>
    </row>
    <row r="19" spans="1:13" s="6" customFormat="1" ht="27" customHeight="1" x14ac:dyDescent="0.25">
      <c r="B19" s="5"/>
      <c r="C19" s="12" t="s">
        <v>11</v>
      </c>
      <c r="D19" s="9"/>
      <c r="E19" s="9"/>
      <c r="F19" s="9"/>
      <c r="G19" s="7"/>
      <c r="H19" s="7"/>
      <c r="I19" s="7"/>
      <c r="J19" s="7"/>
      <c r="K19" s="7"/>
      <c r="L19" s="7"/>
      <c r="M19" s="7"/>
    </row>
    <row r="20" spans="1:13" s="6" customFormat="1" ht="32.25" customHeight="1" x14ac:dyDescent="0.25">
      <c r="B20" s="5"/>
      <c r="C20" s="12" t="s">
        <v>8</v>
      </c>
      <c r="D20" s="3"/>
      <c r="E20" s="3"/>
      <c r="F20" s="3"/>
      <c r="G20" s="3"/>
      <c r="H20" s="3"/>
      <c r="I20" s="3"/>
      <c r="J20" s="3"/>
      <c r="K20" s="3"/>
      <c r="L20" s="3"/>
      <c r="M20" s="3"/>
    </row>
    <row r="21" spans="1:13" s="6" customFormat="1" x14ac:dyDescent="0.25">
      <c r="B21" s="5"/>
      <c r="C21" s="3"/>
      <c r="D21" s="12"/>
      <c r="E21" s="12"/>
      <c r="F21" s="12"/>
      <c r="G21" s="10"/>
      <c r="H21" s="9"/>
      <c r="I21" s="9"/>
      <c r="J21" s="7"/>
      <c r="K21" s="7"/>
      <c r="L21" s="7"/>
      <c r="M21" s="7"/>
    </row>
    <row r="22" spans="1:13" s="6" customFormat="1" ht="4.5" customHeight="1" x14ac:dyDescent="0.25">
      <c r="B22" s="5"/>
      <c r="C22" s="3"/>
      <c r="D22" s="7"/>
      <c r="E22" s="7"/>
      <c r="F22" s="7"/>
      <c r="G22" s="7"/>
      <c r="H22" s="7"/>
      <c r="I22" s="7"/>
      <c r="J22" s="7"/>
      <c r="K22" s="7"/>
      <c r="L22" s="7"/>
      <c r="M22" s="7"/>
    </row>
    <row r="23" spans="1:13" s="6" customFormat="1" ht="21.75" customHeight="1" x14ac:dyDescent="0.25">
      <c r="B23" s="8"/>
      <c r="D23" s="11"/>
      <c r="E23" s="11"/>
      <c r="F23" s="11"/>
      <c r="G23" s="11"/>
      <c r="H23" s="11"/>
      <c r="I23" s="11"/>
      <c r="J23" s="11"/>
      <c r="K23" s="11"/>
      <c r="L23" s="11"/>
      <c r="M23" s="11"/>
    </row>
    <row r="24" spans="1:13" ht="21.75" customHeight="1" x14ac:dyDescent="0.25">
      <c r="A24" s="6"/>
      <c r="B24" s="14" t="s">
        <v>113</v>
      </c>
      <c r="C24" s="6"/>
      <c r="D24" s="6"/>
      <c r="E24" s="6"/>
      <c r="F24" s="6"/>
      <c r="G24" s="6"/>
      <c r="H24" s="6"/>
      <c r="I24" s="6"/>
      <c r="J24" s="6"/>
      <c r="K24" s="6"/>
      <c r="L24" s="6"/>
      <c r="M24" s="13"/>
    </row>
    <row r="25" spans="1:13" x14ac:dyDescent="0.25">
      <c r="A25" s="6"/>
      <c r="B25" s="6"/>
      <c r="C25" s="6"/>
      <c r="D25" s="6"/>
      <c r="E25" s="6"/>
      <c r="F25" s="6"/>
      <c r="G25" s="6"/>
      <c r="H25" s="6"/>
      <c r="I25" s="6"/>
      <c r="J25" s="6"/>
      <c r="K25" s="6"/>
      <c r="L25" s="6"/>
      <c r="M25" s="6"/>
    </row>
    <row r="26" spans="1:13" x14ac:dyDescent="0.25">
      <c r="A26" s="6"/>
      <c r="B26" s="6"/>
      <c r="C26" s="6"/>
      <c r="D26" s="6"/>
      <c r="E26" s="6"/>
      <c r="F26" s="6"/>
      <c r="G26" s="6"/>
      <c r="H26" s="6"/>
      <c r="I26" s="6"/>
      <c r="J26" s="6"/>
      <c r="K26" s="6"/>
      <c r="L26" s="6"/>
      <c r="M26" s="6"/>
    </row>
  </sheetData>
  <sheetProtection sheet="1" objects="1" scenarios="1"/>
  <mergeCells count="3">
    <mergeCell ref="C15:M16"/>
    <mergeCell ref="C17:M18"/>
    <mergeCell ref="C13:M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sheetPr>
  <dimension ref="A2:BL120"/>
  <sheetViews>
    <sheetView zoomScale="80" zoomScaleNormal="80" workbookViewId="0">
      <selection activeCell="X10" sqref="X10"/>
    </sheetView>
  </sheetViews>
  <sheetFormatPr defaultRowHeight="15" x14ac:dyDescent="0.25"/>
  <cols>
    <col min="1" max="1" width="9.140625" style="6"/>
    <col min="2" max="2" width="7.7109375" style="13" customWidth="1"/>
    <col min="3" max="3" width="28.140625" style="13" customWidth="1"/>
    <col min="4" max="4" width="10.140625" style="13" hidden="1" customWidth="1"/>
    <col min="5" max="5" width="10.5703125" style="13" hidden="1" customWidth="1"/>
    <col min="6" max="7" width="10.140625" style="13" hidden="1" customWidth="1"/>
    <col min="8" max="15" width="10.140625" style="6" hidden="1" customWidth="1"/>
    <col min="16" max="16" width="10.42578125" style="6" hidden="1" customWidth="1"/>
    <col min="17" max="19" width="10.140625" style="6" hidden="1" customWidth="1"/>
    <col min="20" max="43" width="10.140625" style="6" customWidth="1"/>
    <col min="44" max="44" width="14.28515625" style="6" customWidth="1"/>
    <col min="45" max="45" width="11.42578125" style="6" customWidth="1"/>
    <col min="46" max="46" width="11.28515625" style="6" customWidth="1"/>
    <col min="47" max="47" width="12.140625" style="6" customWidth="1"/>
    <col min="48" max="48" width="23.28515625" style="6" customWidth="1"/>
    <col min="49" max="49" width="15.28515625" style="6" customWidth="1"/>
    <col min="50" max="50" width="21.140625" style="6" customWidth="1"/>
    <col min="51" max="51" width="6.5703125" style="6" customWidth="1"/>
    <col min="52" max="52" width="14.85546875" style="6" customWidth="1"/>
    <col min="53" max="54" width="12" style="6" customWidth="1"/>
    <col min="55" max="55" width="32.140625" style="6" customWidth="1"/>
    <col min="56" max="56" width="9" style="6" customWidth="1"/>
    <col min="57" max="57" width="13.7109375" style="6" customWidth="1"/>
    <col min="58" max="58" width="9.140625" style="6"/>
    <col min="59" max="59" width="7.85546875" style="6" customWidth="1"/>
    <col min="60" max="60" width="6.5703125" style="6" bestFit="1" customWidth="1"/>
    <col min="61" max="16384" width="9.140625" style="6"/>
  </cols>
  <sheetData>
    <row r="2" spans="2:57" ht="21" x14ac:dyDescent="0.25">
      <c r="T2" s="15" t="s">
        <v>12</v>
      </c>
      <c r="U2" s="13"/>
      <c r="V2" s="13"/>
      <c r="W2" s="13"/>
      <c r="X2" s="13"/>
    </row>
    <row r="3" spans="2:57" x14ac:dyDescent="0.25">
      <c r="T3" s="13"/>
      <c r="U3" s="13"/>
      <c r="V3" s="13"/>
      <c r="W3" s="13"/>
      <c r="X3" s="13"/>
    </row>
    <row r="4" spans="2:57" ht="30.75" customHeight="1" x14ac:dyDescent="0.25">
      <c r="T4" s="186" t="s">
        <v>62</v>
      </c>
      <c r="U4" s="186"/>
      <c r="V4" s="186"/>
      <c r="W4" s="186"/>
      <c r="X4" s="186"/>
      <c r="Y4" s="186"/>
      <c r="Z4" s="186"/>
      <c r="AA4" s="186"/>
      <c r="AB4" s="186"/>
      <c r="AC4" s="186"/>
      <c r="AD4" s="186"/>
      <c r="AE4" s="186"/>
      <c r="AF4" s="186"/>
      <c r="AG4" s="186"/>
      <c r="AH4" s="186"/>
      <c r="AI4" s="186"/>
      <c r="AJ4" s="186"/>
      <c r="AK4" s="186"/>
    </row>
    <row r="5" spans="2:57" x14ac:dyDescent="0.25">
      <c r="T5" s="13"/>
      <c r="U5" s="13"/>
      <c r="V5" s="13"/>
      <c r="W5" s="13"/>
      <c r="X5" s="13"/>
    </row>
    <row r="6" spans="2:57" x14ac:dyDescent="0.25">
      <c r="T6" s="194" t="s">
        <v>69</v>
      </c>
      <c r="U6" s="194"/>
      <c r="V6" s="194"/>
      <c r="W6" s="194"/>
      <c r="X6" s="194"/>
      <c r="Y6" s="194"/>
      <c r="Z6" s="194"/>
      <c r="AA6" s="194"/>
      <c r="AB6" s="194"/>
      <c r="AC6" s="194"/>
      <c r="AD6" s="194"/>
      <c r="AE6" s="194"/>
      <c r="AF6" s="194"/>
      <c r="AG6" s="194"/>
      <c r="AH6" s="194"/>
      <c r="AI6" s="194"/>
      <c r="AJ6" s="194"/>
      <c r="AK6" s="194"/>
    </row>
    <row r="7" spans="2:57" x14ac:dyDescent="0.25">
      <c r="T7" s="201"/>
      <c r="U7" s="201"/>
      <c r="V7" s="201"/>
      <c r="W7" s="201"/>
      <c r="X7" s="201"/>
      <c r="Y7" s="201"/>
      <c r="Z7" s="201"/>
      <c r="AA7" s="201"/>
      <c r="AB7" s="201"/>
      <c r="AC7" s="201"/>
      <c r="AD7" s="201"/>
      <c r="AE7" s="201"/>
      <c r="AF7" s="201"/>
      <c r="AG7" s="201"/>
      <c r="AH7" s="201"/>
      <c r="AI7" s="201"/>
      <c r="AJ7" s="201"/>
      <c r="AK7" s="201"/>
    </row>
    <row r="8" spans="2:57" x14ac:dyDescent="0.25">
      <c r="T8" s="202" t="s">
        <v>112</v>
      </c>
      <c r="U8" s="194"/>
      <c r="V8" s="194"/>
      <c r="W8" s="194"/>
      <c r="X8" s="194"/>
      <c r="Y8" s="194"/>
      <c r="Z8" s="194"/>
      <c r="AA8" s="194"/>
      <c r="AB8" s="194"/>
      <c r="AC8" s="194"/>
      <c r="AD8" s="194"/>
      <c r="AE8" s="194"/>
      <c r="AF8" s="194"/>
      <c r="AG8" s="194"/>
      <c r="AH8" s="194"/>
      <c r="AI8" s="194"/>
      <c r="AJ8" s="194"/>
      <c r="AK8" s="194"/>
    </row>
    <row r="9" spans="2:57" ht="22.5" customHeight="1" thickBot="1" x14ac:dyDescent="0.3">
      <c r="T9" s="13"/>
      <c r="U9" s="13"/>
      <c r="V9" s="166" t="s">
        <v>78</v>
      </c>
      <c r="W9" s="13"/>
      <c r="X9" s="13"/>
    </row>
    <row r="10" spans="2:57" s="4" customFormat="1" ht="25.5" customHeight="1" thickBot="1" x14ac:dyDescent="0.3">
      <c r="T10" s="32"/>
      <c r="U10" s="32" t="s">
        <v>13</v>
      </c>
      <c r="V10" s="183">
        <v>7000</v>
      </c>
      <c r="W10" s="164" t="s">
        <v>14</v>
      </c>
      <c r="X10" s="165"/>
      <c r="Y10" s="165"/>
      <c r="Z10" s="165"/>
      <c r="AA10" s="165"/>
      <c r="AB10" s="165"/>
      <c r="AC10" s="165"/>
      <c r="AD10" s="165"/>
      <c r="AE10" s="165"/>
      <c r="AF10" s="165"/>
      <c r="AG10" s="165"/>
      <c r="AH10" s="165"/>
      <c r="AI10" s="165"/>
      <c r="AJ10" s="165"/>
      <c r="AK10" s="165"/>
      <c r="AL10" s="165"/>
      <c r="AM10" s="165"/>
      <c r="AN10" s="165"/>
      <c r="AO10" s="165"/>
      <c r="AP10" s="165"/>
      <c r="AQ10" s="165"/>
    </row>
    <row r="11" spans="2:57" ht="18.75" thickTop="1" thickBot="1" x14ac:dyDescent="0.3">
      <c r="B11" s="6"/>
      <c r="F11" s="23"/>
      <c r="G11" s="23"/>
      <c r="H11" s="187" t="s">
        <v>15</v>
      </c>
      <c r="I11" s="188"/>
      <c r="J11" s="188"/>
      <c r="K11" s="188"/>
      <c r="L11" s="188"/>
      <c r="M11" s="189"/>
      <c r="N11" s="187" t="s">
        <v>16</v>
      </c>
      <c r="O11" s="188"/>
      <c r="P11" s="188"/>
      <c r="Q11" s="188"/>
      <c r="R11" s="188"/>
      <c r="S11" s="189"/>
      <c r="T11" s="187" t="s">
        <v>17</v>
      </c>
      <c r="U11" s="188"/>
      <c r="V11" s="196"/>
      <c r="W11" s="188"/>
      <c r="X11" s="188"/>
      <c r="Y11" s="189"/>
      <c r="Z11" s="187" t="s">
        <v>67</v>
      </c>
      <c r="AA11" s="188"/>
      <c r="AB11" s="188"/>
      <c r="AC11" s="188"/>
      <c r="AD11" s="188"/>
      <c r="AE11" s="189"/>
      <c r="AF11" s="187" t="s">
        <v>93</v>
      </c>
      <c r="AG11" s="188"/>
      <c r="AH11" s="188"/>
      <c r="AI11" s="188"/>
      <c r="AJ11" s="188"/>
      <c r="AK11" s="189"/>
      <c r="AL11" s="187" t="s">
        <v>94</v>
      </c>
      <c r="AM11" s="188"/>
      <c r="AN11" s="188"/>
      <c r="AO11" s="188"/>
      <c r="AP11" s="188"/>
      <c r="AQ11" s="189"/>
      <c r="AS11" s="24" t="s">
        <v>18</v>
      </c>
    </row>
    <row r="12" spans="2:57" ht="16.5" customHeight="1" thickTop="1" x14ac:dyDescent="0.25">
      <c r="B12" s="6"/>
      <c r="D12" s="23"/>
      <c r="E12" s="25" t="s">
        <v>19</v>
      </c>
      <c r="F12" s="23"/>
      <c r="G12" s="23"/>
      <c r="H12" s="23"/>
      <c r="I12" s="23"/>
      <c r="J12" s="23"/>
      <c r="K12" s="23"/>
      <c r="L12" s="23"/>
      <c r="M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S12" s="4" t="s">
        <v>24</v>
      </c>
    </row>
    <row r="13" spans="2:57" ht="15.75" thickBot="1" x14ac:dyDescent="0.3">
      <c r="B13" s="26"/>
      <c r="C13" s="27" t="s">
        <v>20</v>
      </c>
      <c r="D13" s="28">
        <v>42339</v>
      </c>
      <c r="E13" s="29">
        <v>42370</v>
      </c>
      <c r="F13" s="28">
        <v>42401</v>
      </c>
      <c r="G13" s="28">
        <v>42430</v>
      </c>
      <c r="H13" s="28">
        <v>42461</v>
      </c>
      <c r="I13" s="28">
        <v>42491</v>
      </c>
      <c r="J13" s="28">
        <v>42522</v>
      </c>
      <c r="K13" s="28">
        <v>42552</v>
      </c>
      <c r="L13" s="28">
        <v>42583</v>
      </c>
      <c r="M13" s="28">
        <v>42614</v>
      </c>
      <c r="N13" s="28">
        <v>42644</v>
      </c>
      <c r="O13" s="28">
        <v>42675</v>
      </c>
      <c r="P13" s="28">
        <v>42705</v>
      </c>
      <c r="Q13" s="28">
        <v>42736</v>
      </c>
      <c r="R13" s="28">
        <v>42767</v>
      </c>
      <c r="S13" s="28">
        <v>42795</v>
      </c>
      <c r="T13" s="28">
        <v>42826</v>
      </c>
      <c r="U13" s="28">
        <v>42856</v>
      </c>
      <c r="V13" s="28">
        <v>42887</v>
      </c>
      <c r="W13" s="28">
        <v>42917</v>
      </c>
      <c r="X13" s="28">
        <v>42948</v>
      </c>
      <c r="Y13" s="28">
        <v>42979</v>
      </c>
      <c r="Z13" s="28">
        <v>43009</v>
      </c>
      <c r="AA13" s="28">
        <v>43040</v>
      </c>
      <c r="AB13" s="28">
        <v>43070</v>
      </c>
      <c r="AC13" s="28">
        <v>43101</v>
      </c>
      <c r="AD13" s="28">
        <v>43132</v>
      </c>
      <c r="AE13" s="28">
        <v>43160</v>
      </c>
      <c r="AF13" s="28">
        <v>43191</v>
      </c>
      <c r="AG13" s="28">
        <v>43221</v>
      </c>
      <c r="AH13" s="28">
        <v>43252</v>
      </c>
      <c r="AI13" s="28">
        <v>43282</v>
      </c>
      <c r="AJ13" s="28">
        <v>43313</v>
      </c>
      <c r="AK13" s="28">
        <v>43344</v>
      </c>
      <c r="AL13" s="28">
        <v>43374</v>
      </c>
      <c r="AM13" s="28">
        <v>43405</v>
      </c>
      <c r="AN13" s="28">
        <v>43435</v>
      </c>
      <c r="AO13" s="28">
        <v>43466</v>
      </c>
      <c r="AP13" s="28">
        <v>43497</v>
      </c>
      <c r="AQ13" s="28">
        <v>43525</v>
      </c>
      <c r="AS13" s="30" t="s">
        <v>71</v>
      </c>
    </row>
    <row r="14" spans="2:57" ht="21.75" customHeight="1" thickBot="1" x14ac:dyDescent="0.3">
      <c r="D14" s="31" t="s">
        <v>77</v>
      </c>
      <c r="AS14" s="30" t="s">
        <v>70</v>
      </c>
    </row>
    <row r="15" spans="2:57" s="32" customFormat="1" ht="22.5" customHeight="1" thickTop="1" thickBot="1" x14ac:dyDescent="0.3">
      <c r="B15" s="6"/>
      <c r="C15" s="20" t="s">
        <v>21</v>
      </c>
      <c r="D15" s="150">
        <v>9.57</v>
      </c>
      <c r="E15" s="151">
        <v>9.39</v>
      </c>
      <c r="F15" s="152">
        <v>9.36</v>
      </c>
      <c r="G15" s="153">
        <v>9.36</v>
      </c>
      <c r="H15" s="154">
        <v>9.36</v>
      </c>
      <c r="I15" s="155">
        <v>9.35</v>
      </c>
      <c r="J15" s="156">
        <v>9.2100000000000009</v>
      </c>
      <c r="K15" s="157">
        <v>9.23</v>
      </c>
      <c r="L15" s="150">
        <v>9.11</v>
      </c>
      <c r="M15" s="151">
        <v>9.16</v>
      </c>
      <c r="N15" s="152">
        <v>9.1997378813501296</v>
      </c>
      <c r="O15" s="153">
        <v>9.1911032383698963</v>
      </c>
      <c r="P15" s="154">
        <v>8.8521555903643367</v>
      </c>
      <c r="Q15" s="155">
        <v>8.7760357150445802</v>
      </c>
      <c r="R15" s="156">
        <v>8.8031808900660327</v>
      </c>
      <c r="S15" s="157">
        <v>8.7668032043033257</v>
      </c>
      <c r="T15" s="150">
        <v>8.7770582110571151</v>
      </c>
      <c r="U15" s="151">
        <v>8.865888071218734</v>
      </c>
      <c r="V15" s="152">
        <v>9.0764590354986101</v>
      </c>
      <c r="W15" s="153">
        <v>9.1331675313078353</v>
      </c>
      <c r="X15" s="154">
        <v>8.8953471890824112</v>
      </c>
      <c r="Y15" s="155">
        <v>8.9861007006386355</v>
      </c>
      <c r="Z15" s="156">
        <v>8.9638144272890177</v>
      </c>
      <c r="AA15" s="157">
        <v>8.879988708320175</v>
      </c>
      <c r="AB15" s="150">
        <v>8.7240726318457558</v>
      </c>
      <c r="AC15" s="151">
        <v>8.627537811307155</v>
      </c>
      <c r="AD15" s="197">
        <f>AC15+AG35</f>
        <v>8.627537811307155</v>
      </c>
      <c r="AE15" s="195">
        <f t="shared" ref="AE15:AQ15" si="0">AD15+AH35</f>
        <v>8.627537811307155</v>
      </c>
      <c r="AF15" s="36">
        <f t="shared" si="0"/>
        <v>8.6204869976471326</v>
      </c>
      <c r="AG15" s="37">
        <f t="shared" si="0"/>
        <v>8.6204869976471326</v>
      </c>
      <c r="AH15" s="38">
        <f t="shared" si="0"/>
        <v>8.6204869976471326</v>
      </c>
      <c r="AI15" s="39">
        <f t="shared" si="0"/>
        <v>8.6204869976471326</v>
      </c>
      <c r="AJ15" s="40">
        <f t="shared" si="0"/>
        <v>8.6204869976471326</v>
      </c>
      <c r="AK15" s="33">
        <f t="shared" si="0"/>
        <v>8.6204869976471326</v>
      </c>
      <c r="AL15" s="34">
        <f t="shared" si="0"/>
        <v>8.6204869976471326</v>
      </c>
      <c r="AM15" s="35">
        <f t="shared" si="0"/>
        <v>8.6204869976471326</v>
      </c>
      <c r="AN15" s="36">
        <f t="shared" si="0"/>
        <v>8.6204869976471326</v>
      </c>
      <c r="AO15" s="37">
        <f t="shared" si="0"/>
        <v>8.6204869976471326</v>
      </c>
      <c r="AP15" s="38">
        <f t="shared" si="0"/>
        <v>8.6204869976471326</v>
      </c>
      <c r="AQ15" s="39">
        <f>AP15</f>
        <v>8.6204869976471326</v>
      </c>
      <c r="AR15" s="6"/>
      <c r="AT15" s="6"/>
      <c r="AU15" s="6"/>
      <c r="AV15" s="6"/>
      <c r="AW15" s="6"/>
      <c r="AX15" s="6"/>
      <c r="AY15" s="6"/>
      <c r="AZ15" s="6"/>
      <c r="BA15" s="6"/>
      <c r="BB15" s="6"/>
      <c r="BC15" s="6"/>
      <c r="BD15" s="6"/>
      <c r="BE15" s="6"/>
    </row>
    <row r="16" spans="2:57" s="32" customFormat="1" ht="22.5" customHeight="1" thickTop="1" thickBot="1" x14ac:dyDescent="0.3">
      <c r="B16" s="41"/>
      <c r="C16" s="32" t="s">
        <v>23</v>
      </c>
      <c r="D16" s="42"/>
      <c r="E16" s="43">
        <f>V10</f>
        <v>7000</v>
      </c>
      <c r="F16" s="44">
        <f>E16</f>
        <v>7000</v>
      </c>
      <c r="G16" s="45">
        <f t="shared" ref="G16:X16" si="1">F16</f>
        <v>7000</v>
      </c>
      <c r="H16" s="46">
        <f t="shared" si="1"/>
        <v>7000</v>
      </c>
      <c r="I16" s="47">
        <f t="shared" si="1"/>
        <v>7000</v>
      </c>
      <c r="J16" s="48">
        <f t="shared" si="1"/>
        <v>7000</v>
      </c>
      <c r="K16" s="49">
        <f t="shared" si="1"/>
        <v>7000</v>
      </c>
      <c r="L16" s="149">
        <f t="shared" si="1"/>
        <v>7000</v>
      </c>
      <c r="M16" s="43">
        <f t="shared" si="1"/>
        <v>7000</v>
      </c>
      <c r="N16" s="44">
        <f t="shared" si="1"/>
        <v>7000</v>
      </c>
      <c r="O16" s="45">
        <f t="shared" si="1"/>
        <v>7000</v>
      </c>
      <c r="P16" s="46">
        <f t="shared" si="1"/>
        <v>7000</v>
      </c>
      <c r="Q16" s="47">
        <f t="shared" si="1"/>
        <v>7000</v>
      </c>
      <c r="R16" s="48">
        <f t="shared" si="1"/>
        <v>7000</v>
      </c>
      <c r="S16" s="49">
        <f t="shared" si="1"/>
        <v>7000</v>
      </c>
      <c r="T16" s="149">
        <f>S16</f>
        <v>7000</v>
      </c>
      <c r="U16" s="43">
        <f t="shared" si="1"/>
        <v>7000</v>
      </c>
      <c r="V16" s="44">
        <f t="shared" si="1"/>
        <v>7000</v>
      </c>
      <c r="W16" s="45">
        <f t="shared" si="1"/>
        <v>7000</v>
      </c>
      <c r="X16" s="46">
        <f t="shared" si="1"/>
        <v>7000</v>
      </c>
      <c r="Y16" s="47">
        <f>X16</f>
        <v>7000</v>
      </c>
      <c r="Z16" s="48">
        <f t="shared" ref="Z16:AE16" si="2">Y16</f>
        <v>7000</v>
      </c>
      <c r="AA16" s="49">
        <f t="shared" si="2"/>
        <v>7000</v>
      </c>
      <c r="AB16" s="149">
        <f t="shared" si="2"/>
        <v>7000</v>
      </c>
      <c r="AC16" s="43">
        <f t="shared" si="2"/>
        <v>7000</v>
      </c>
      <c r="AD16" s="44">
        <f>AC16</f>
        <v>7000</v>
      </c>
      <c r="AE16" s="53">
        <f t="shared" si="2"/>
        <v>7000</v>
      </c>
      <c r="AF16" s="54">
        <f t="shared" ref="AF15:AF16" si="3">AE16</f>
        <v>7000</v>
      </c>
      <c r="AG16" s="55">
        <f t="shared" ref="AG15:AG16" si="4">AF16</f>
        <v>7000</v>
      </c>
      <c r="AH16" s="56">
        <f t="shared" ref="AH15:AH16" si="5">AG16</f>
        <v>7000</v>
      </c>
      <c r="AI16" s="57">
        <f t="shared" ref="AI16" si="6">AH16</f>
        <v>7000</v>
      </c>
      <c r="AJ16" s="50">
        <f t="shared" ref="AJ16" si="7">AI16</f>
        <v>7000</v>
      </c>
      <c r="AK16" s="51">
        <f t="shared" ref="AK16" si="8">AJ16</f>
        <v>7000</v>
      </c>
      <c r="AL16" s="52">
        <f t="shared" ref="AL16" si="9">AK16</f>
        <v>7000</v>
      </c>
      <c r="AM16" s="53">
        <f t="shared" ref="AM16" si="10">AL16</f>
        <v>7000</v>
      </c>
      <c r="AN16" s="54">
        <f t="shared" ref="AN16" si="11">AM16</f>
        <v>7000</v>
      </c>
      <c r="AO16" s="55">
        <f t="shared" ref="AO16" si="12">AN16</f>
        <v>7000</v>
      </c>
      <c r="AP16" s="56">
        <f t="shared" ref="AP16" si="13">AO16</f>
        <v>7000</v>
      </c>
      <c r="AQ16" s="57">
        <f t="shared" ref="AQ16" si="14">AP16</f>
        <v>7000</v>
      </c>
      <c r="AR16" s="6"/>
      <c r="AS16" s="24" t="s">
        <v>22</v>
      </c>
      <c r="AT16" s="59"/>
      <c r="AU16" s="59"/>
      <c r="AV16" s="59"/>
      <c r="AW16" s="59"/>
      <c r="AX16" s="6"/>
      <c r="AY16" s="6"/>
      <c r="AZ16" s="6"/>
      <c r="BA16" s="6"/>
      <c r="BB16" s="6"/>
      <c r="BC16" s="6"/>
      <c r="BD16" s="6"/>
      <c r="BE16" s="6"/>
    </row>
    <row r="17" spans="1:63" s="32" customFormat="1" ht="22.5" customHeight="1" thickTop="1" thickBot="1" x14ac:dyDescent="0.3">
      <c r="B17" s="6"/>
      <c r="C17" s="32" t="s">
        <v>25</v>
      </c>
      <c r="D17" s="60"/>
      <c r="E17" s="61"/>
      <c r="F17" s="51">
        <f>E16</f>
        <v>7000</v>
      </c>
      <c r="G17" s="52">
        <f t="shared" ref="G17:Y17" si="15">F16</f>
        <v>7000</v>
      </c>
      <c r="H17" s="53">
        <f t="shared" si="15"/>
        <v>7000</v>
      </c>
      <c r="I17" s="54">
        <f>H16</f>
        <v>7000</v>
      </c>
      <c r="J17" s="55">
        <f t="shared" si="15"/>
        <v>7000</v>
      </c>
      <c r="K17" s="56">
        <f t="shared" si="15"/>
        <v>7000</v>
      </c>
      <c r="L17" s="57">
        <f t="shared" si="15"/>
        <v>7000</v>
      </c>
      <c r="M17" s="50">
        <f t="shared" si="15"/>
        <v>7000</v>
      </c>
      <c r="N17" s="51">
        <f t="shared" si="15"/>
        <v>7000</v>
      </c>
      <c r="O17" s="52">
        <f t="shared" si="15"/>
        <v>7000</v>
      </c>
      <c r="P17" s="53">
        <f t="shared" si="15"/>
        <v>7000</v>
      </c>
      <c r="Q17" s="54">
        <f t="shared" si="15"/>
        <v>7000</v>
      </c>
      <c r="R17" s="55">
        <f t="shared" si="15"/>
        <v>7000</v>
      </c>
      <c r="S17" s="56">
        <f t="shared" si="15"/>
        <v>7000</v>
      </c>
      <c r="T17" s="57">
        <f t="shared" si="15"/>
        <v>7000</v>
      </c>
      <c r="U17" s="50">
        <f t="shared" si="15"/>
        <v>7000</v>
      </c>
      <c r="V17" s="51">
        <f t="shared" si="15"/>
        <v>7000</v>
      </c>
      <c r="W17" s="52">
        <f t="shared" si="15"/>
        <v>7000</v>
      </c>
      <c r="X17" s="53">
        <f t="shared" si="15"/>
        <v>7000</v>
      </c>
      <c r="Y17" s="54">
        <f t="shared" si="15"/>
        <v>7000</v>
      </c>
      <c r="Z17" s="55">
        <f t="shared" ref="Z17" si="16">Y16</f>
        <v>7000</v>
      </c>
      <c r="AA17" s="56">
        <f t="shared" ref="AA17" si="17">Z16</f>
        <v>7000</v>
      </c>
      <c r="AB17" s="57">
        <f t="shared" ref="AB17" si="18">AA16</f>
        <v>7000</v>
      </c>
      <c r="AC17" s="50">
        <f t="shared" ref="AC17" si="19">AB16</f>
        <v>7000</v>
      </c>
      <c r="AD17" s="51">
        <f t="shared" ref="AD17" si="20">AC16</f>
        <v>7000</v>
      </c>
      <c r="AE17" s="52">
        <f t="shared" ref="AE17:AF17" si="21">AD16</f>
        <v>7000</v>
      </c>
      <c r="AF17" s="53">
        <f t="shared" si="21"/>
        <v>7000</v>
      </c>
      <c r="AG17" s="54">
        <f t="shared" ref="AG17" si="22">AF16</f>
        <v>7000</v>
      </c>
      <c r="AH17" s="55">
        <f t="shared" ref="AH17" si="23">AG16</f>
        <v>7000</v>
      </c>
      <c r="AI17" s="56">
        <f t="shared" ref="AI17" si="24">AH16</f>
        <v>7000</v>
      </c>
      <c r="AJ17" s="57">
        <f t="shared" ref="AJ17" si="25">AI16</f>
        <v>7000</v>
      </c>
      <c r="AK17" s="50">
        <f t="shared" ref="AK17" si="26">AJ16</f>
        <v>7000</v>
      </c>
      <c r="AL17" s="51">
        <f t="shared" ref="AL17" si="27">AK16</f>
        <v>7000</v>
      </c>
      <c r="AM17" s="52">
        <f t="shared" ref="AM17" si="28">AL16</f>
        <v>7000</v>
      </c>
      <c r="AN17" s="53">
        <f t="shared" ref="AN17" si="29">AM16</f>
        <v>7000</v>
      </c>
      <c r="AO17" s="54">
        <f t="shared" ref="AO17" si="30">AN16</f>
        <v>7000</v>
      </c>
      <c r="AP17" s="55">
        <f t="shared" ref="AP17" si="31">AO16</f>
        <v>7000</v>
      </c>
      <c r="AQ17" s="56">
        <f t="shared" ref="AQ17" si="32">AP16</f>
        <v>7000</v>
      </c>
      <c r="AR17" s="6"/>
      <c r="AS17" s="58" t="s">
        <v>24</v>
      </c>
      <c r="AT17" s="59"/>
      <c r="AU17" s="59"/>
      <c r="AV17" s="59"/>
      <c r="AW17" s="59"/>
      <c r="AX17" s="6"/>
      <c r="AY17" s="6"/>
      <c r="AZ17" s="6"/>
      <c r="BA17" s="6"/>
      <c r="BB17" s="6"/>
      <c r="BC17" s="6"/>
      <c r="BD17" s="6"/>
      <c r="BE17" s="6"/>
    </row>
    <row r="18" spans="1:63" s="32" customFormat="1" ht="22.5" customHeight="1" thickTop="1" thickBot="1" x14ac:dyDescent="0.3">
      <c r="A18" s="20"/>
      <c r="B18" s="6"/>
      <c r="C18" s="20" t="s">
        <v>26</v>
      </c>
      <c r="D18" s="60"/>
      <c r="E18" s="62"/>
      <c r="F18" s="62"/>
      <c r="G18" s="63">
        <f>D15*E16</f>
        <v>66990</v>
      </c>
      <c r="H18" s="64">
        <f t="shared" ref="H18:X18" si="33">E15*F16</f>
        <v>65730</v>
      </c>
      <c r="I18" s="65">
        <f t="shared" si="33"/>
        <v>65519.999999999993</v>
      </c>
      <c r="J18" s="66">
        <f t="shared" si="33"/>
        <v>65519.999999999993</v>
      </c>
      <c r="K18" s="67">
        <f t="shared" si="33"/>
        <v>65519.999999999993</v>
      </c>
      <c r="L18" s="68">
        <f t="shared" si="33"/>
        <v>65450</v>
      </c>
      <c r="M18" s="69">
        <f t="shared" si="33"/>
        <v>64470.000000000007</v>
      </c>
      <c r="N18" s="70">
        <f t="shared" si="33"/>
        <v>64610</v>
      </c>
      <c r="O18" s="63">
        <f t="shared" si="33"/>
        <v>63769.999999999993</v>
      </c>
      <c r="P18" s="64">
        <f t="shared" si="33"/>
        <v>64120</v>
      </c>
      <c r="Q18" s="65">
        <f t="shared" si="33"/>
        <v>64398.165169450906</v>
      </c>
      <c r="R18" s="66">
        <f>O15*P16</f>
        <v>64337.722668589275</v>
      </c>
      <c r="S18" s="67">
        <f>P15*Q16</f>
        <v>61965.089132550354</v>
      </c>
      <c r="T18" s="68">
        <f t="shared" si="33"/>
        <v>61432.25000531206</v>
      </c>
      <c r="U18" s="69">
        <f t="shared" si="33"/>
        <v>61622.266230462228</v>
      </c>
      <c r="V18" s="70">
        <f>S15*T16</f>
        <v>61367.62243012328</v>
      </c>
      <c r="W18" s="63">
        <f t="shared" si="33"/>
        <v>61439.407477399807</v>
      </c>
      <c r="X18" s="64">
        <f t="shared" si="33"/>
        <v>62061.216498531139</v>
      </c>
      <c r="Y18" s="65">
        <f>V15*W16</f>
        <v>63535.213248490269</v>
      </c>
      <c r="Z18" s="66">
        <f t="shared" ref="Z18:AE18" si="34">W15*X16</f>
        <v>63932.172719154849</v>
      </c>
      <c r="AA18" s="67">
        <f t="shared" si="34"/>
        <v>62267.430323576875</v>
      </c>
      <c r="AB18" s="68">
        <f t="shared" si="34"/>
        <v>62902.704904470447</v>
      </c>
      <c r="AC18" s="69">
        <f t="shared" si="34"/>
        <v>62746.700991023121</v>
      </c>
      <c r="AD18" s="70">
        <f t="shared" si="34"/>
        <v>62159.920958241222</v>
      </c>
      <c r="AE18" s="63">
        <f t="shared" si="34"/>
        <v>61068.508422920291</v>
      </c>
      <c r="AF18" s="64">
        <f t="shared" ref="AF18" si="35">AC15*AD16</f>
        <v>60392.764679150088</v>
      </c>
      <c r="AG18" s="65">
        <f>AD15*AE16</f>
        <v>60392.764679150088</v>
      </c>
      <c r="AH18" s="66">
        <f>AE15*AF16</f>
        <v>60392.764679150088</v>
      </c>
      <c r="AI18" s="67">
        <f t="shared" ref="AI18:AQ18" si="36">AF15*AG16</f>
        <v>60343.408983529931</v>
      </c>
      <c r="AJ18" s="68">
        <f t="shared" si="36"/>
        <v>60343.408983529931</v>
      </c>
      <c r="AK18" s="69">
        <f t="shared" si="36"/>
        <v>60343.408983529931</v>
      </c>
      <c r="AL18" s="70">
        <f t="shared" si="36"/>
        <v>60343.408983529931</v>
      </c>
      <c r="AM18" s="63">
        <f t="shared" si="36"/>
        <v>60343.408983529931</v>
      </c>
      <c r="AN18" s="64">
        <f t="shared" si="36"/>
        <v>60343.408983529931</v>
      </c>
      <c r="AO18" s="65">
        <f t="shared" si="36"/>
        <v>60343.408983529931</v>
      </c>
      <c r="AP18" s="66">
        <f t="shared" si="36"/>
        <v>60343.408983529931</v>
      </c>
      <c r="AQ18" s="67">
        <f t="shared" si="36"/>
        <v>60343.408983529931</v>
      </c>
      <c r="AR18" s="6"/>
      <c r="AS18" s="71" t="s">
        <v>27</v>
      </c>
      <c r="AT18" s="72"/>
      <c r="AU18" s="59"/>
      <c r="AV18" s="59"/>
      <c r="AW18" s="59"/>
      <c r="AX18" s="6"/>
      <c r="AY18" s="6"/>
      <c r="AZ18" s="6"/>
      <c r="BA18" s="6"/>
      <c r="BB18" s="6"/>
      <c r="BC18" s="6"/>
      <c r="BD18" s="6"/>
      <c r="BE18" s="6"/>
    </row>
    <row r="19" spans="1:63" s="32" customFormat="1" ht="22.5" customHeight="1" thickTop="1" thickBot="1" x14ac:dyDescent="0.3">
      <c r="A19" s="20"/>
      <c r="B19" s="20"/>
      <c r="C19" s="20" t="s">
        <v>28</v>
      </c>
      <c r="D19" s="60"/>
      <c r="E19" s="73"/>
      <c r="F19" s="62"/>
      <c r="G19" s="70">
        <f>-F18</f>
        <v>0</v>
      </c>
      <c r="H19" s="63">
        <f>-G18</f>
        <v>-66990</v>
      </c>
      <c r="I19" s="64">
        <f>-H18</f>
        <v>-65730</v>
      </c>
      <c r="J19" s="65">
        <f>-I18</f>
        <v>-65519.999999999993</v>
      </c>
      <c r="K19" s="66">
        <f t="shared" ref="K19:Y19" si="37">-J18</f>
        <v>-65519.999999999993</v>
      </c>
      <c r="L19" s="67">
        <f>-K18</f>
        <v>-65519.999999999993</v>
      </c>
      <c r="M19" s="68">
        <f t="shared" si="37"/>
        <v>-65450</v>
      </c>
      <c r="N19" s="69">
        <f t="shared" si="37"/>
        <v>-64470.000000000007</v>
      </c>
      <c r="O19" s="70">
        <f>-N18</f>
        <v>-64610</v>
      </c>
      <c r="P19" s="63">
        <f>-O18</f>
        <v>-63769.999999999993</v>
      </c>
      <c r="Q19" s="64">
        <f t="shared" si="37"/>
        <v>-64120</v>
      </c>
      <c r="R19" s="65">
        <f>-Q18</f>
        <v>-64398.165169450906</v>
      </c>
      <c r="S19" s="66">
        <f t="shared" si="37"/>
        <v>-64337.722668589275</v>
      </c>
      <c r="T19" s="67">
        <f t="shared" si="37"/>
        <v>-61965.089132550354</v>
      </c>
      <c r="U19" s="68">
        <f t="shared" si="37"/>
        <v>-61432.25000531206</v>
      </c>
      <c r="V19" s="69">
        <f t="shared" si="37"/>
        <v>-61622.266230462228</v>
      </c>
      <c r="W19" s="70">
        <f>-V18</f>
        <v>-61367.62243012328</v>
      </c>
      <c r="X19" s="63">
        <f>-W18</f>
        <v>-61439.407477399807</v>
      </c>
      <c r="Y19" s="64">
        <f t="shared" si="37"/>
        <v>-62061.216498531139</v>
      </c>
      <c r="Z19" s="65">
        <f t="shared" ref="Z19" si="38">-Y18</f>
        <v>-63535.213248490269</v>
      </c>
      <c r="AA19" s="66">
        <f t="shared" ref="AA19" si="39">-Z18</f>
        <v>-63932.172719154849</v>
      </c>
      <c r="AB19" s="67">
        <f t="shared" ref="AB19" si="40">-AA18</f>
        <v>-62267.430323576875</v>
      </c>
      <c r="AC19" s="68">
        <f t="shared" ref="AC19" si="41">-AB18</f>
        <v>-62902.704904470447</v>
      </c>
      <c r="AD19" s="69">
        <f t="shared" ref="AD19" si="42">-AC18</f>
        <v>-62746.700991023121</v>
      </c>
      <c r="AE19" s="70">
        <f t="shared" ref="AE19" si="43">-AD18</f>
        <v>-62159.920958241222</v>
      </c>
      <c r="AF19" s="63">
        <f t="shared" ref="AF19" si="44">-AE18</f>
        <v>-61068.508422920291</v>
      </c>
      <c r="AG19" s="64">
        <f t="shared" ref="AG19" si="45">-AF18</f>
        <v>-60392.764679150088</v>
      </c>
      <c r="AH19" s="65">
        <f>-AG18</f>
        <v>-60392.764679150088</v>
      </c>
      <c r="AI19" s="66">
        <f t="shared" ref="AI19:AQ19" si="46">-AH18</f>
        <v>-60392.764679150088</v>
      </c>
      <c r="AJ19" s="67">
        <f t="shared" si="46"/>
        <v>-60343.408983529931</v>
      </c>
      <c r="AK19" s="68">
        <f t="shared" si="46"/>
        <v>-60343.408983529931</v>
      </c>
      <c r="AL19" s="69">
        <f t="shared" si="46"/>
        <v>-60343.408983529931</v>
      </c>
      <c r="AM19" s="70">
        <f t="shared" si="46"/>
        <v>-60343.408983529931</v>
      </c>
      <c r="AN19" s="63">
        <f t="shared" si="46"/>
        <v>-60343.408983529931</v>
      </c>
      <c r="AO19" s="64">
        <f t="shared" si="46"/>
        <v>-60343.408983529931</v>
      </c>
      <c r="AP19" s="65">
        <f t="shared" si="46"/>
        <v>-60343.408983529931</v>
      </c>
      <c r="AQ19" s="66">
        <f t="shared" si="46"/>
        <v>-60343.408983529931</v>
      </c>
      <c r="AR19" s="6"/>
      <c r="AS19" s="71" t="s">
        <v>29</v>
      </c>
      <c r="AT19" s="72"/>
      <c r="AU19" s="59"/>
      <c r="AV19" s="59"/>
      <c r="AW19" s="59"/>
      <c r="AX19" s="6"/>
      <c r="AY19" s="6"/>
      <c r="AZ19" s="6"/>
      <c r="BA19" s="6"/>
      <c r="BB19" s="6"/>
      <c r="BC19" s="6"/>
      <c r="BD19" s="6"/>
      <c r="BE19" s="6"/>
    </row>
    <row r="20" spans="1:63" s="32" customFormat="1" ht="22.5" customHeight="1" thickTop="1" thickBot="1" x14ac:dyDescent="0.3">
      <c r="A20" s="20"/>
      <c r="B20" s="20"/>
      <c r="C20" s="20" t="s">
        <v>30</v>
      </c>
      <c r="D20" s="74"/>
      <c r="E20" s="62"/>
      <c r="F20" s="62"/>
      <c r="G20" s="70">
        <v>0</v>
      </c>
      <c r="H20" s="63">
        <f>E15*E16</f>
        <v>65730</v>
      </c>
      <c r="I20" s="64">
        <f t="shared" ref="I20:Y20" si="47">F15*F16</f>
        <v>65519.999999999993</v>
      </c>
      <c r="J20" s="65">
        <f t="shared" si="47"/>
        <v>65519.999999999993</v>
      </c>
      <c r="K20" s="66">
        <f t="shared" si="47"/>
        <v>65519.999999999993</v>
      </c>
      <c r="L20" s="67">
        <f t="shared" si="47"/>
        <v>65450</v>
      </c>
      <c r="M20" s="68">
        <f t="shared" si="47"/>
        <v>64470.000000000007</v>
      </c>
      <c r="N20" s="69">
        <f t="shared" si="47"/>
        <v>64610</v>
      </c>
      <c r="O20" s="70">
        <f t="shared" si="47"/>
        <v>63769.999999999993</v>
      </c>
      <c r="P20" s="63">
        <f t="shared" si="47"/>
        <v>64120</v>
      </c>
      <c r="Q20" s="64">
        <f t="shared" si="47"/>
        <v>64398.165169450906</v>
      </c>
      <c r="R20" s="65">
        <f t="shared" si="47"/>
        <v>64337.722668589275</v>
      </c>
      <c r="S20" s="66">
        <f>P15*P16</f>
        <v>61965.089132550354</v>
      </c>
      <c r="T20" s="67">
        <f t="shared" si="47"/>
        <v>61432.25000531206</v>
      </c>
      <c r="U20" s="68">
        <f t="shared" si="47"/>
        <v>61622.266230462228</v>
      </c>
      <c r="V20" s="69">
        <f t="shared" si="47"/>
        <v>61367.62243012328</v>
      </c>
      <c r="W20" s="70">
        <f>T15*T16</f>
        <v>61439.407477399807</v>
      </c>
      <c r="X20" s="63">
        <f t="shared" si="47"/>
        <v>62061.216498531139</v>
      </c>
      <c r="Y20" s="64">
        <f t="shared" si="47"/>
        <v>63535.213248490269</v>
      </c>
      <c r="Z20" s="65">
        <f t="shared" ref="Z20" si="48">W15*W16</f>
        <v>63932.172719154849</v>
      </c>
      <c r="AA20" s="66">
        <f t="shared" ref="AA20" si="49">X15*X16</f>
        <v>62267.430323576875</v>
      </c>
      <c r="AB20" s="67">
        <f t="shared" ref="AB20" si="50">Y15*Y16</f>
        <v>62902.704904470447</v>
      </c>
      <c r="AC20" s="68">
        <f t="shared" ref="AC20" si="51">Z15*Z16</f>
        <v>62746.700991023121</v>
      </c>
      <c r="AD20" s="69">
        <f t="shared" ref="AD20" si="52">AA15*AA16</f>
        <v>62159.920958241222</v>
      </c>
      <c r="AE20" s="70">
        <f t="shared" ref="AE20" si="53">AB15*AB16</f>
        <v>61068.508422920291</v>
      </c>
      <c r="AF20" s="63">
        <f t="shared" ref="AF20" si="54">AC15*AC16</f>
        <v>60392.764679150088</v>
      </c>
      <c r="AG20" s="64">
        <f t="shared" ref="AG20" si="55">AD15*AD16</f>
        <v>60392.764679150088</v>
      </c>
      <c r="AH20" s="65">
        <f t="shared" ref="AH20" si="56">AE15*AE16</f>
        <v>60392.764679150088</v>
      </c>
      <c r="AI20" s="66">
        <f t="shared" ref="AI20" si="57">AF15*AF16</f>
        <v>60343.408983529931</v>
      </c>
      <c r="AJ20" s="67">
        <f t="shared" ref="AJ20" si="58">AG15*AG16</f>
        <v>60343.408983529931</v>
      </c>
      <c r="AK20" s="68">
        <f t="shared" ref="AK20" si="59">AH15*AH16</f>
        <v>60343.408983529931</v>
      </c>
      <c r="AL20" s="69">
        <f t="shared" ref="AL20" si="60">AI15*AI16</f>
        <v>60343.408983529931</v>
      </c>
      <c r="AM20" s="70">
        <f t="shared" ref="AM20" si="61">AJ15*AJ16</f>
        <v>60343.408983529931</v>
      </c>
      <c r="AN20" s="63">
        <f t="shared" ref="AN20" si="62">AK15*AK16</f>
        <v>60343.408983529931</v>
      </c>
      <c r="AO20" s="64">
        <f t="shared" ref="AO20" si="63">AL15*AL16</f>
        <v>60343.408983529931</v>
      </c>
      <c r="AP20" s="65">
        <f t="shared" ref="AP20" si="64">AM15*AM16</f>
        <v>60343.408983529931</v>
      </c>
      <c r="AQ20" s="66">
        <f t="shared" ref="AQ20" si="65">AN15*AN16</f>
        <v>60343.408983529931</v>
      </c>
      <c r="AR20" s="6"/>
      <c r="AS20" s="71" t="s">
        <v>31</v>
      </c>
      <c r="AT20" s="72"/>
      <c r="AU20" s="59"/>
      <c r="AV20" s="59"/>
      <c r="AW20" s="59"/>
      <c r="AX20" s="6"/>
      <c r="AY20" s="6"/>
      <c r="AZ20" s="6"/>
      <c r="BA20" s="6"/>
      <c r="BB20" s="6"/>
      <c r="BC20" s="6"/>
      <c r="BD20" s="6"/>
      <c r="BE20" s="6"/>
      <c r="BF20" s="6"/>
      <c r="BI20" s="81"/>
      <c r="BJ20" s="81"/>
      <c r="BK20" s="81"/>
    </row>
    <row r="21" spans="1:63" s="32" customFormat="1" ht="22.5" customHeight="1" thickTop="1" thickBot="1" x14ac:dyDescent="0.3">
      <c r="A21" s="20"/>
      <c r="B21" s="20"/>
      <c r="C21" s="75" t="s">
        <v>32</v>
      </c>
      <c r="D21" s="76"/>
      <c r="E21" s="77">
        <f t="shared" ref="E21" si="66">E20+E19+E18</f>
        <v>0</v>
      </c>
      <c r="F21" s="77">
        <f>F20+F19+F18</f>
        <v>0</v>
      </c>
      <c r="G21" s="77">
        <f>G20+G19+G18</f>
        <v>66990</v>
      </c>
      <c r="H21" s="77">
        <f>H20+H19+H18</f>
        <v>64470</v>
      </c>
      <c r="I21" s="77">
        <f>I20+I19+I18</f>
        <v>65309.999999999985</v>
      </c>
      <c r="J21" s="77">
        <f>J20+J19+J18</f>
        <v>65519.999999999993</v>
      </c>
      <c r="K21" s="77">
        <f t="shared" ref="K21:X21" si="67">K20+K19+K18</f>
        <v>65519.999999999993</v>
      </c>
      <c r="L21" s="77">
        <f t="shared" si="67"/>
        <v>65380.000000000007</v>
      </c>
      <c r="M21" s="77">
        <f t="shared" si="67"/>
        <v>63490.000000000015</v>
      </c>
      <c r="N21" s="77">
        <f t="shared" si="67"/>
        <v>64749.999999999993</v>
      </c>
      <c r="O21" s="77">
        <f t="shared" si="67"/>
        <v>62929.999999999985</v>
      </c>
      <c r="P21" s="77">
        <f t="shared" si="67"/>
        <v>64470.000000000007</v>
      </c>
      <c r="Q21" s="77">
        <f>Q20+Q19+Q18</f>
        <v>64676.330338901811</v>
      </c>
      <c r="R21" s="77">
        <f>R20+R19+R18</f>
        <v>64277.280167727644</v>
      </c>
      <c r="S21" s="77">
        <f t="shared" si="67"/>
        <v>59592.455596511434</v>
      </c>
      <c r="T21" s="77">
        <f t="shared" si="67"/>
        <v>60899.410878073766</v>
      </c>
      <c r="U21" s="77">
        <f t="shared" si="67"/>
        <v>61812.282455612396</v>
      </c>
      <c r="V21" s="77">
        <f>V20+V19+V18</f>
        <v>61112.978629784331</v>
      </c>
      <c r="W21" s="77">
        <f>W20+W19+W18</f>
        <v>61511.192524676335</v>
      </c>
      <c r="X21" s="77">
        <f t="shared" si="67"/>
        <v>62683.025519662471</v>
      </c>
      <c r="Y21" s="77">
        <f>Y20+Y19+Y18</f>
        <v>65009.209998449398</v>
      </c>
      <c r="Z21" s="77">
        <f t="shared" ref="Z21:AD21" si="68">Z20+Z19+Z18</f>
        <v>64329.132189819429</v>
      </c>
      <c r="AA21" s="77">
        <f t="shared" si="68"/>
        <v>60602.687927998901</v>
      </c>
      <c r="AB21" s="77">
        <f t="shared" si="68"/>
        <v>63537.97948536402</v>
      </c>
      <c r="AC21" s="77">
        <f t="shared" si="68"/>
        <v>62590.697077575795</v>
      </c>
      <c r="AD21" s="77">
        <f t="shared" si="68"/>
        <v>61573.140925459324</v>
      </c>
      <c r="AE21" s="77">
        <f>AE20+AE19+AE18</f>
        <v>59977.09588759936</v>
      </c>
      <c r="AF21" s="77">
        <f t="shared" ref="AF21:AQ21" si="69">AF20+AF19+AF18</f>
        <v>59717.020935379885</v>
      </c>
      <c r="AG21" s="77">
        <f t="shared" si="69"/>
        <v>60392.764679150088</v>
      </c>
      <c r="AH21" s="77">
        <f t="shared" si="69"/>
        <v>60392.764679150088</v>
      </c>
      <c r="AI21" s="77">
        <f t="shared" si="69"/>
        <v>60294.053287909774</v>
      </c>
      <c r="AJ21" s="77">
        <f t="shared" si="69"/>
        <v>60343.408983529931</v>
      </c>
      <c r="AK21" s="77">
        <f t="shared" si="69"/>
        <v>60343.408983529931</v>
      </c>
      <c r="AL21" s="77">
        <f t="shared" si="69"/>
        <v>60343.408983529931</v>
      </c>
      <c r="AM21" s="77">
        <f t="shared" si="69"/>
        <v>60343.408983529931</v>
      </c>
      <c r="AN21" s="77">
        <f t="shared" si="69"/>
        <v>60343.408983529931</v>
      </c>
      <c r="AO21" s="77">
        <f t="shared" si="69"/>
        <v>60343.408983529931</v>
      </c>
      <c r="AP21" s="77">
        <f t="shared" si="69"/>
        <v>60343.408983529931</v>
      </c>
      <c r="AQ21" s="77">
        <f t="shared" si="69"/>
        <v>60343.408983529931</v>
      </c>
      <c r="AR21" s="6"/>
      <c r="AS21" s="71" t="s">
        <v>33</v>
      </c>
      <c r="AT21" s="72"/>
      <c r="AU21" s="59"/>
      <c r="AV21" s="59"/>
      <c r="AW21" s="59"/>
      <c r="AX21" s="6"/>
      <c r="AY21" s="6"/>
      <c r="AZ21" s="6"/>
      <c r="BA21" s="6"/>
      <c r="BB21" s="6"/>
      <c r="BC21" s="6"/>
      <c r="BD21" s="6"/>
      <c r="BE21" s="6"/>
    </row>
    <row r="22" spans="1:63" s="32" customFormat="1" ht="22.5" customHeight="1" thickTop="1" x14ac:dyDescent="0.25">
      <c r="A22" s="20"/>
      <c r="B22" s="78"/>
      <c r="C22" s="13"/>
      <c r="D22" s="13"/>
      <c r="E22" s="13"/>
      <c r="F22" s="13"/>
      <c r="G22" s="13"/>
      <c r="H22" s="6"/>
      <c r="I22" s="6"/>
      <c r="J22" s="6"/>
      <c r="K22" s="6"/>
      <c r="L22" s="6"/>
      <c r="M22" s="6"/>
      <c r="N22" s="6"/>
      <c r="O22" s="6"/>
      <c r="P22" s="6"/>
      <c r="Q22" s="6"/>
      <c r="R22" s="6"/>
      <c r="S22" s="6"/>
      <c r="T22" s="6"/>
      <c r="U22" s="6"/>
      <c r="V22" s="6"/>
      <c r="W22" s="6"/>
      <c r="X22" s="17"/>
      <c r="Y22" s="6"/>
      <c r="Z22" s="6"/>
      <c r="AA22" s="6"/>
      <c r="AB22" s="6"/>
      <c r="AC22" s="6"/>
      <c r="AD22" s="6"/>
      <c r="AE22" s="6"/>
      <c r="AF22" s="6"/>
      <c r="AG22" s="6"/>
      <c r="AH22" s="6"/>
      <c r="AI22" s="6"/>
      <c r="AJ22" s="6"/>
      <c r="AK22" s="6"/>
      <c r="AL22" s="6"/>
      <c r="AM22" s="6"/>
      <c r="AN22" s="6"/>
      <c r="AO22" s="6"/>
      <c r="AP22" s="6"/>
      <c r="AQ22" s="6"/>
      <c r="AR22" s="6"/>
      <c r="AS22" s="71" t="s">
        <v>72</v>
      </c>
      <c r="AU22" s="59"/>
      <c r="AV22" s="59"/>
      <c r="AW22" s="59"/>
      <c r="AX22" s="6"/>
      <c r="AY22" s="6"/>
      <c r="AZ22" s="6"/>
      <c r="BA22" s="6"/>
      <c r="BB22" s="6"/>
    </row>
    <row r="23" spans="1:63" s="32" customFormat="1" ht="18.75" customHeight="1" thickBot="1" x14ac:dyDescent="0.3">
      <c r="A23" s="20"/>
      <c r="B23" s="78"/>
      <c r="C23" s="13"/>
      <c r="D23" s="13"/>
      <c r="E23" s="13"/>
      <c r="F23" s="13"/>
      <c r="G23" s="13"/>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71"/>
      <c r="AT23" s="72"/>
      <c r="AU23" s="59"/>
      <c r="AV23" s="59"/>
      <c r="AW23" s="59"/>
      <c r="AX23" s="6"/>
      <c r="AY23" s="6"/>
      <c r="BA23" s="6"/>
    </row>
    <row r="24" spans="1:63" s="32" customFormat="1" ht="18.75" customHeight="1" thickTop="1" thickBot="1" x14ac:dyDescent="0.3">
      <c r="A24" s="20"/>
      <c r="B24" s="78"/>
      <c r="C24" s="79" t="s">
        <v>34</v>
      </c>
      <c r="D24" s="80"/>
      <c r="E24" s="80"/>
      <c r="F24" s="80"/>
      <c r="G24" s="80"/>
      <c r="H24" s="63">
        <f>E16*$AW$65</f>
        <v>677.21916109775543</v>
      </c>
      <c r="I24" s="64">
        <f>F16*$AW$65</f>
        <v>677.21916109775543</v>
      </c>
      <c r="J24" s="65">
        <f>G16*$AW$65</f>
        <v>677.21916109775543</v>
      </c>
      <c r="K24" s="66">
        <f>H16*$AW$65</f>
        <v>677.21916109775543</v>
      </c>
      <c r="L24" s="67">
        <f>I16*$AW$65</f>
        <v>677.21916109775543</v>
      </c>
      <c r="M24" s="68">
        <f>J16*$AW$65</f>
        <v>677.21916109775543</v>
      </c>
      <c r="N24" s="69">
        <f>K16*$AW$65</f>
        <v>677.21916109775543</v>
      </c>
      <c r="O24" s="70">
        <f>L16*$AW$65</f>
        <v>677.21916109775543</v>
      </c>
      <c r="P24" s="63">
        <f>M16*$AW$65</f>
        <v>677.21916109775543</v>
      </c>
      <c r="Q24" s="64">
        <f>N16*$AW$65</f>
        <v>677.21916109775543</v>
      </c>
      <c r="R24" s="65">
        <f>O16*$AW$65</f>
        <v>677.21916109775543</v>
      </c>
      <c r="S24" s="66">
        <f>P16*$AW$65</f>
        <v>677.21916109775543</v>
      </c>
      <c r="T24" s="67">
        <f>Q16*$AW$65</f>
        <v>677.21916109775543</v>
      </c>
      <c r="U24" s="68">
        <f>R16*$AW$65</f>
        <v>677.21916109775543</v>
      </c>
      <c r="V24" s="69">
        <f>S16*$AW$65</f>
        <v>677.21916109775543</v>
      </c>
      <c r="W24" s="70">
        <f>T16*$AW$72</f>
        <v>661.70437673112554</v>
      </c>
      <c r="X24" s="63">
        <f t="shared" ref="X24:AH24" si="70">U16*$AW$72</f>
        <v>661.70437673112554</v>
      </c>
      <c r="Y24" s="64">
        <f t="shared" si="70"/>
        <v>661.70437673112554</v>
      </c>
      <c r="Z24" s="65">
        <f t="shared" si="70"/>
        <v>661.70437673112554</v>
      </c>
      <c r="AA24" s="66">
        <f t="shared" si="70"/>
        <v>661.70437673112554</v>
      </c>
      <c r="AB24" s="67">
        <f t="shared" si="70"/>
        <v>661.70437673112554</v>
      </c>
      <c r="AC24" s="68">
        <f t="shared" si="70"/>
        <v>661.70437673112554</v>
      </c>
      <c r="AD24" s="69">
        <f t="shared" si="70"/>
        <v>661.70437673112554</v>
      </c>
      <c r="AE24" s="70">
        <f t="shared" si="70"/>
        <v>661.70437673112554</v>
      </c>
      <c r="AF24" s="63">
        <f t="shared" si="70"/>
        <v>661.70437673112554</v>
      </c>
      <c r="AG24" s="64">
        <f t="shared" si="70"/>
        <v>661.70437673112554</v>
      </c>
      <c r="AH24" s="65">
        <f t="shared" si="70"/>
        <v>661.70437673112554</v>
      </c>
      <c r="AI24" s="66">
        <f>AF16*$AW$80</f>
        <v>656.21258691421895</v>
      </c>
      <c r="AJ24" s="67">
        <f t="shared" ref="AJ24:AQ24" si="71">AG16*$AW$80</f>
        <v>656.21258691421895</v>
      </c>
      <c r="AK24" s="68">
        <f t="shared" si="71"/>
        <v>656.21258691421895</v>
      </c>
      <c r="AL24" s="69">
        <f t="shared" si="71"/>
        <v>656.21258691421895</v>
      </c>
      <c r="AM24" s="70">
        <f t="shared" si="71"/>
        <v>656.21258691421895</v>
      </c>
      <c r="AN24" s="63">
        <f t="shared" si="71"/>
        <v>656.21258691421895</v>
      </c>
      <c r="AO24" s="64">
        <f t="shared" si="71"/>
        <v>656.21258691421895</v>
      </c>
      <c r="AP24" s="65">
        <f t="shared" si="71"/>
        <v>656.21258691421895</v>
      </c>
      <c r="AQ24" s="66">
        <f t="shared" si="71"/>
        <v>656.21258691421895</v>
      </c>
      <c r="AR24" s="6"/>
      <c r="AS24" s="30"/>
      <c r="AT24" s="13"/>
      <c r="AU24" s="6"/>
      <c r="AV24" s="6"/>
      <c r="AW24" s="6"/>
      <c r="AX24" s="6"/>
      <c r="AY24" s="6"/>
      <c r="AZ24" s="81"/>
      <c r="BA24" s="82"/>
      <c r="BB24" s="81"/>
      <c r="BC24" s="82"/>
      <c r="BD24" s="81"/>
      <c r="BE24" s="81"/>
      <c r="BF24" s="81"/>
    </row>
    <row r="25" spans="1:63" s="32" customFormat="1" ht="18.75" customHeight="1" thickTop="1" thickBot="1" x14ac:dyDescent="0.3">
      <c r="A25" s="20"/>
      <c r="C25" s="79" t="s">
        <v>35</v>
      </c>
      <c r="D25" s="80"/>
      <c r="E25" s="80"/>
      <c r="F25" s="80"/>
      <c r="G25" s="80"/>
      <c r="H25" s="63">
        <f>IF(E16&lt;$AT$91,0,IF(E16&lt;$AT$92,$AW$91,IF(E16&lt;$AT$93,$AW$92,$AW$93)))</f>
        <v>2091.6666666666665</v>
      </c>
      <c r="I25" s="64">
        <f>IF(F16&lt;$AT$91,0,IF(F16&lt;$AT$92,$AW$91,IF(F16&lt;$AT$93,$AW$92,$AW$93)))</f>
        <v>2091.6666666666665</v>
      </c>
      <c r="J25" s="65">
        <f>IF(G16&lt;$AT$91,0,IF(G16&lt;$AT$92,$AW$91,IF(G16&lt;$AT$93,$AW$92,$AW$93)))</f>
        <v>2091.6666666666665</v>
      </c>
      <c r="K25" s="66">
        <f>IF(H16&lt;$AT$91,0,IF(H16&lt;$AT$92,$AW$91,IF(H16&lt;$AT$93,$AW$92,$AW$93)))</f>
        <v>2091.6666666666665</v>
      </c>
      <c r="L25" s="67">
        <f>IF(I16&lt;$AT$91,0,IF(I16&lt;$AT$92,$AW$91,IF(I16&lt;$AT$93,$AW$92,$AW$93)))</f>
        <v>2091.6666666666665</v>
      </c>
      <c r="M25" s="68">
        <f>IF(J16&lt;$AT$91,0,IF(J16&lt;$AT$92,$AW$91,IF(J16&lt;$AT$93,$AW$92,$AW$93)))</f>
        <v>2091.6666666666665</v>
      </c>
      <c r="N25" s="69">
        <f>IF(K16&lt;$AT$91,0,IF(K16&lt;$AT$92,$AW$91,IF(K16&lt;$AT$93,$AW$92,$AW$93)))</f>
        <v>2091.6666666666665</v>
      </c>
      <c r="O25" s="70">
        <f>IF(L16&lt;$AT$91,0,IF(L16&lt;$AT$92,$AW$91,IF(L16&lt;$AT$93,$AW$92,$AW$93)))</f>
        <v>2091.6666666666665</v>
      </c>
      <c r="P25" s="63">
        <f>IF(M16&lt;$AT$91,0,IF(M16&lt;$AT$92,$AW$91,IF(M16&lt;$AT$93,$AW$92,$AW$93)))</f>
        <v>2091.6666666666665</v>
      </c>
      <c r="Q25" s="64">
        <f>IF(N16&lt;$AT$91,0,IF(N16&lt;$AT$92,$AW$91,IF(N16&lt;$AT$93,$AW$92,$AW$93)))</f>
        <v>2091.6666666666665</v>
      </c>
      <c r="R25" s="65">
        <f>IF(O16&lt;$AT$91,0,IF(O16&lt;$AT$92,$AW$91,IF(O16&lt;$AT$93,$AW$92,$AW$93)))</f>
        <v>2091.6666666666665</v>
      </c>
      <c r="S25" s="66">
        <f>IF(P16&lt;$AT$98,0,IF(P16&lt;$AT$99,$AW$98,IF(P16&lt;$AT$100,$AW$99,$AW$100)))</f>
        <v>1673.3333333333333</v>
      </c>
      <c r="T25" s="67">
        <f>IF(R16&lt;$AT$98,0,IF(R16&lt;$AT$99,$AW$98,IF(R16&lt;$AT$100,$AW$99,$AW$100)))</f>
        <v>1673.3333333333333</v>
      </c>
      <c r="U25" s="68">
        <f>IF(S16&lt;$AT$98,0,IF(S16&lt;$AT$99,$AW$98,IF(S16&lt;$AT$100,$AW$99,$AW$100)))</f>
        <v>1673.3333333333333</v>
      </c>
      <c r="V25" s="69">
        <f>IF(T16&lt;$AT$98,0,IF(T16&lt;$AT$99,$AW$98,IF(T16&lt;$AT$100,$AW$99,$AW$100)))</f>
        <v>1673.3333333333333</v>
      </c>
      <c r="W25" s="70">
        <f>IF(U16&lt;$AT$105,0,IF(U16&lt;$AT$106,$AW$105,IF(U16&lt;$AT$107,$AW$106,$AW$107)))</f>
        <v>1255</v>
      </c>
      <c r="X25" s="63">
        <f>IF(V16&lt;$AT$105,0,IF(V16&lt;$AT$106,$AW$105,IF(V16&lt;$AT$107,$AW$106,$AW$107)))</f>
        <v>1255</v>
      </c>
      <c r="Y25" s="64">
        <f>IF(W16&lt;$AT$105,0,IF(W16&lt;$AT$106,$AW$105,IF(W16&lt;$AT$107,$AW$106,$AW$107)))</f>
        <v>1255</v>
      </c>
      <c r="Z25" s="65">
        <f>IF(X16&lt;$AT$105,0,IF(X16&lt;$AT$106,$AW$105,IF(X16&lt;$AT$107,$AW$106,$AW$107)))</f>
        <v>1255</v>
      </c>
      <c r="AA25" s="66">
        <f>IF(Y16&lt;$AT$105,0,IF(Y16&lt;$AT$106,$AW$105,IF(Y16&lt;$AT$107,$AW$106,$AW$107)))</f>
        <v>1255</v>
      </c>
      <c r="AB25" s="67">
        <f>IF(Z16&lt;$AT$105,0,IF(Z16&lt;$AT$106,$AW$105,IF(Z16&lt;$AT$107,$AW$106,$AW$107)))</f>
        <v>1255</v>
      </c>
      <c r="AC25" s="68">
        <f>IF(AA16&lt;$AT$105,0,IF(AA16&lt;$AT$106,$AW$105,IF(AA16&lt;$AT$107,$AW$106,$AW$107)))</f>
        <v>1255</v>
      </c>
      <c r="AD25" s="69">
        <f>IF(AB16&lt;$AT$105,0,IF(AB16&lt;$AT$106,$AW$105,IF(AB16&lt;$AT$107,$AW$106,$AW$107)))</f>
        <v>1255</v>
      </c>
      <c r="AE25" s="70">
        <f>IF(AC16&lt;$AT$105,0,IF(AC16&lt;$AT$106,$AW$105,IF(AC16&lt;$AT$107,$AW$106,$AW$107)))</f>
        <v>1255</v>
      </c>
      <c r="AF25" s="63">
        <f>IF(AD16&lt;$AT$105,0,IF(AD16&lt;$AT$106,$AW$105,IF(AD16&lt;$AT$107,$AW$106,$AW$107)))</f>
        <v>1255</v>
      </c>
      <c r="AG25" s="64">
        <f>IF(AE16&lt;$AT$105,0,IF(AE16&lt;$AT$106,$AW$105,IF(AE16&lt;$AT$107,$AW$106,$AW$107)))</f>
        <v>1255</v>
      </c>
      <c r="AH25" s="65">
        <f>IF(AF16&lt;$AT$105,0,IF(AF16&lt;$AT$106,$AW$105,IF(AF16&lt;$AT$107,$AW$106,$AW$107)))</f>
        <v>1255</v>
      </c>
      <c r="AI25" s="66">
        <f>IF(AG16&lt;$AT$112,0,IF(AG16&lt;$AT$113,$AW$112,IF(AG16&lt;$AT$114,$AW$113,$AW$114)))</f>
        <v>1255</v>
      </c>
      <c r="AJ25" s="67">
        <f t="shared" ref="AJ25:AQ25" si="72">IF(AH16&lt;$AT$112,0,IF(AH16&lt;$AT$113,$AW$112,IF(AH16&lt;$AT$114,$AW$113,$AW$114)))</f>
        <v>1255</v>
      </c>
      <c r="AK25" s="68">
        <f t="shared" si="72"/>
        <v>1255</v>
      </c>
      <c r="AL25" s="69">
        <f t="shared" si="72"/>
        <v>1255</v>
      </c>
      <c r="AM25" s="70">
        <f t="shared" si="72"/>
        <v>1255</v>
      </c>
      <c r="AN25" s="63">
        <f t="shared" si="72"/>
        <v>1255</v>
      </c>
      <c r="AO25" s="64">
        <f t="shared" si="72"/>
        <v>1255</v>
      </c>
      <c r="AP25" s="65">
        <f t="shared" si="72"/>
        <v>1255</v>
      </c>
      <c r="AQ25" s="66">
        <f t="shared" si="72"/>
        <v>1255</v>
      </c>
      <c r="AR25" s="6"/>
      <c r="AS25" s="83" t="s">
        <v>36</v>
      </c>
      <c r="AT25" s="84"/>
      <c r="AU25" s="84"/>
      <c r="AV25" s="84"/>
      <c r="AW25" s="84"/>
      <c r="AX25" s="6"/>
      <c r="AY25" s="6"/>
      <c r="AZ25" s="85"/>
      <c r="BA25" s="86"/>
      <c r="BB25" s="81"/>
      <c r="BC25" s="87"/>
      <c r="BD25" s="81"/>
      <c r="BE25" s="81"/>
      <c r="BF25" s="81"/>
    </row>
    <row r="26" spans="1:63" s="32" customFormat="1" ht="18.75" customHeight="1" thickTop="1" thickBot="1" x14ac:dyDescent="0.3">
      <c r="A26" s="20"/>
      <c r="B26" s="78"/>
      <c r="C26" s="79" t="s">
        <v>37</v>
      </c>
      <c r="D26" s="80"/>
      <c r="E26" s="80"/>
      <c r="F26" s="80"/>
      <c r="G26" s="80"/>
      <c r="H26" s="63">
        <f>E16*$AW$63+125+200</f>
        <v>6625</v>
      </c>
      <c r="I26" s="64">
        <f>F16*$AW$63+125+200</f>
        <v>6625</v>
      </c>
      <c r="J26" s="65">
        <f>G16*$AW$63+125+200</f>
        <v>6625</v>
      </c>
      <c r="K26" s="66">
        <f>H16*$AW$63+125+200</f>
        <v>6625</v>
      </c>
      <c r="L26" s="67">
        <f>I16*$AW$63+125+200</f>
        <v>6625</v>
      </c>
      <c r="M26" s="68">
        <f>J16*$AW$63+125+200</f>
        <v>6625</v>
      </c>
      <c r="N26" s="69">
        <f>K16*$AW$63+125+200</f>
        <v>6625</v>
      </c>
      <c r="O26" s="70">
        <f>L16*$AW$63+125+200</f>
        <v>6625</v>
      </c>
      <c r="P26" s="63">
        <f>M16*$AW$63+125+200</f>
        <v>6625</v>
      </c>
      <c r="Q26" s="64">
        <f>N16*$AW$63+125+200</f>
        <v>6625</v>
      </c>
      <c r="R26" s="65">
        <f>O16*$AW$63+125+200</f>
        <v>6625</v>
      </c>
      <c r="S26" s="66">
        <v>0</v>
      </c>
      <c r="T26" s="67">
        <v>0</v>
      </c>
      <c r="U26" s="68">
        <v>0</v>
      </c>
      <c r="V26" s="69">
        <v>0</v>
      </c>
      <c r="W26" s="70">
        <v>0</v>
      </c>
      <c r="X26" s="63">
        <v>0</v>
      </c>
      <c r="Y26" s="64">
        <v>0</v>
      </c>
      <c r="Z26" s="65">
        <v>0</v>
      </c>
      <c r="AA26" s="66">
        <v>0</v>
      </c>
      <c r="AB26" s="67">
        <v>0</v>
      </c>
      <c r="AC26" s="68">
        <v>0</v>
      </c>
      <c r="AD26" s="69">
        <v>0</v>
      </c>
      <c r="AE26" s="70">
        <v>0</v>
      </c>
      <c r="AF26" s="63">
        <v>0</v>
      </c>
      <c r="AG26" s="64">
        <v>0</v>
      </c>
      <c r="AH26" s="65">
        <v>0</v>
      </c>
      <c r="AI26" s="66">
        <v>0</v>
      </c>
      <c r="AJ26" s="67">
        <v>0</v>
      </c>
      <c r="AK26" s="68">
        <v>0</v>
      </c>
      <c r="AL26" s="69">
        <v>0</v>
      </c>
      <c r="AM26" s="70">
        <v>0</v>
      </c>
      <c r="AN26" s="63">
        <v>0</v>
      </c>
      <c r="AO26" s="64">
        <v>0</v>
      </c>
      <c r="AP26" s="65">
        <v>0</v>
      </c>
      <c r="AQ26" s="66">
        <v>0</v>
      </c>
      <c r="AR26" s="6"/>
      <c r="AS26" s="84"/>
      <c r="AT26" s="84"/>
      <c r="AU26" s="84"/>
      <c r="AV26" s="185" t="s">
        <v>0</v>
      </c>
      <c r="AW26" s="185" t="s">
        <v>1</v>
      </c>
      <c r="AX26" s="6"/>
      <c r="AY26" s="6"/>
      <c r="AZ26" s="85"/>
      <c r="BA26" s="86"/>
      <c r="BB26" s="81"/>
      <c r="BC26" s="81"/>
      <c r="BD26" s="81"/>
      <c r="BE26" s="81"/>
      <c r="BF26" s="81"/>
    </row>
    <row r="27" spans="1:63" s="32" customFormat="1" ht="18.75" customHeight="1" thickTop="1" thickBot="1" x14ac:dyDescent="0.3">
      <c r="A27" s="20"/>
      <c r="B27" s="78"/>
      <c r="C27" s="79" t="s">
        <v>38</v>
      </c>
      <c r="D27" s="80"/>
      <c r="E27" s="80"/>
      <c r="F27" s="80"/>
      <c r="G27" s="80"/>
      <c r="H27" s="63">
        <f>(IF(E16&lt;$AT$29,$AW$28,IF(E16&lt;$AT$30,$AW$29,IF(E16&lt;$AT$31,$AW$30,E16*$AV$31))))</f>
        <v>3947.9999999999995</v>
      </c>
      <c r="I27" s="64">
        <f>(IF(F16&lt;$AT$29,$AW$28,IF(F16&lt;$AT$30,$AW$29,IF(F16&lt;$AT$31,$AW$30,F16*$AV$31))))</f>
        <v>3947.9999999999995</v>
      </c>
      <c r="J27" s="65">
        <f>(IF(G16&lt;$AT$29,$AW$28,IF(G16&lt;$AT$30,$AW$29,IF(G16&lt;$AT$31,$AW$30,G16*$AV$31))))</f>
        <v>3947.9999999999995</v>
      </c>
      <c r="K27" s="66">
        <f>(IF(H16&lt;$AT$29,$AW$28,IF(H16&lt;$AT$30,$AW$29,IF(H16&lt;$AT$31,$AW$30,H16*$AV$31))))</f>
        <v>3947.9999999999995</v>
      </c>
      <c r="L27" s="67">
        <f>(IF(I16&lt;$AT$29,$AW$28,IF(I16&lt;$AT$30,$AW$29,IF(I16&lt;$AT$31,$AW$30,I16*$AV$31))))</f>
        <v>3947.9999999999995</v>
      </c>
      <c r="M27" s="68">
        <f>(IF(J16&lt;$AT$29,$AW$28,IF(J16&lt;$AT$30,$AW$29,IF(J16&lt;$AT$31,$AW$30,J16*$AV$31))))</f>
        <v>3947.9999999999995</v>
      </c>
      <c r="N27" s="69">
        <f>(IF(K16&lt;$AT$29,$AW$28,IF(K16&lt;$AT$30,$AW$29,IF(K16&lt;$AT$31,$AW$30,K16*$AV$31))))</f>
        <v>3947.9999999999995</v>
      </c>
      <c r="O27" s="70">
        <f>(IF(L16&lt;$AT$45,$AW$44,IF(L16&lt;$AT$46,$AW$45,IF(L16&lt;$AT$47,$AW$46,L16*$AV$47))))</f>
        <v>3066</v>
      </c>
      <c r="P27" s="63">
        <f>(IF(M16&lt;$AT$45,$AW$44,IF(M16&lt;$AT$46,$AW$45,IF(M16&lt;$AT$47,$AW$46,M16*$AV$47))))</f>
        <v>3066</v>
      </c>
      <c r="Q27" s="64">
        <f>(IF(N16&lt;$AT$53,$AW$52,IF(N16&lt;$AT$54,$AW$53,IF(N16&lt;$AT$55,$AW$54,N16*$AV$55))))</f>
        <v>3654</v>
      </c>
      <c r="R27" s="65">
        <f>(IF(O16&lt;$AT$53,$AW$52,IF(O16&lt;$AT$54,$AW$53,IF(O16&lt;$AT$55,$AW$54,O16*$AV$55))))</f>
        <v>3654</v>
      </c>
      <c r="S27" s="66">
        <v>0</v>
      </c>
      <c r="T27" s="67">
        <v>0</v>
      </c>
      <c r="U27" s="68">
        <v>0</v>
      </c>
      <c r="V27" s="69">
        <v>0</v>
      </c>
      <c r="W27" s="70">
        <v>0</v>
      </c>
      <c r="X27" s="63">
        <v>0</v>
      </c>
      <c r="Y27" s="64">
        <v>0</v>
      </c>
      <c r="Z27" s="65">
        <v>0</v>
      </c>
      <c r="AA27" s="66">
        <v>0</v>
      </c>
      <c r="AB27" s="67">
        <v>0</v>
      </c>
      <c r="AC27" s="68">
        <v>0</v>
      </c>
      <c r="AD27" s="69">
        <v>0</v>
      </c>
      <c r="AE27" s="70">
        <v>0</v>
      </c>
      <c r="AF27" s="63">
        <v>0</v>
      </c>
      <c r="AG27" s="64">
        <v>0</v>
      </c>
      <c r="AH27" s="65">
        <v>0</v>
      </c>
      <c r="AI27" s="66">
        <v>0</v>
      </c>
      <c r="AJ27" s="67">
        <v>0</v>
      </c>
      <c r="AK27" s="68">
        <v>0</v>
      </c>
      <c r="AL27" s="69">
        <v>0</v>
      </c>
      <c r="AM27" s="70">
        <v>0</v>
      </c>
      <c r="AN27" s="63">
        <v>0</v>
      </c>
      <c r="AO27" s="64">
        <v>0</v>
      </c>
      <c r="AP27" s="65">
        <v>0</v>
      </c>
      <c r="AQ27" s="66">
        <v>0</v>
      </c>
      <c r="AR27" s="6"/>
      <c r="AS27" s="84"/>
      <c r="AT27" s="88" t="s">
        <v>2</v>
      </c>
      <c r="AU27" s="88" t="s">
        <v>3</v>
      </c>
      <c r="AV27" s="185"/>
      <c r="AW27" s="185"/>
      <c r="AX27" s="6"/>
      <c r="AY27" s="6"/>
      <c r="AZ27" s="85"/>
      <c r="BA27" s="86"/>
      <c r="BB27" s="81"/>
      <c r="BC27" s="81"/>
      <c r="BD27" s="81"/>
      <c r="BE27" s="81"/>
      <c r="BF27" s="81"/>
    </row>
    <row r="28" spans="1:63" s="32" customFormat="1" ht="18.75" customHeight="1" thickTop="1" thickBot="1" x14ac:dyDescent="0.3">
      <c r="A28" s="20"/>
      <c r="B28" s="78"/>
      <c r="C28" s="79" t="s">
        <v>7</v>
      </c>
      <c r="D28" s="79"/>
      <c r="E28" s="79"/>
      <c r="F28" s="79"/>
      <c r="G28" s="79"/>
      <c r="H28" s="63">
        <v>0</v>
      </c>
      <c r="I28" s="64">
        <v>0</v>
      </c>
      <c r="J28" s="65">
        <v>0</v>
      </c>
      <c r="K28" s="66">
        <v>0</v>
      </c>
      <c r="L28" s="67">
        <v>0</v>
      </c>
      <c r="M28" s="68">
        <v>0</v>
      </c>
      <c r="N28" s="69">
        <v>0</v>
      </c>
      <c r="O28" s="70">
        <v>0</v>
      </c>
      <c r="P28" s="63">
        <v>0</v>
      </c>
      <c r="Q28" s="64">
        <v>0</v>
      </c>
      <c r="R28" s="65">
        <v>0</v>
      </c>
      <c r="S28" s="66">
        <f>P16*$AW$66</f>
        <v>7909.9999999999991</v>
      </c>
      <c r="T28" s="67">
        <f>Q16*$AW$66</f>
        <v>7909.9999999999991</v>
      </c>
      <c r="U28" s="68">
        <f>R16*$AW$66</f>
        <v>7909.9999999999991</v>
      </c>
      <c r="V28" s="69">
        <f>S16*$AW$66</f>
        <v>7909.9999999999991</v>
      </c>
      <c r="W28" s="70">
        <f>T16*$AW$73</f>
        <v>8750</v>
      </c>
      <c r="X28" s="63">
        <f>U16*$AW$73</f>
        <v>8750</v>
      </c>
      <c r="Y28" s="64">
        <f>V16*$AW$73</f>
        <v>8750</v>
      </c>
      <c r="Z28" s="65">
        <f>W16*$AW$73</f>
        <v>8750</v>
      </c>
      <c r="AA28" s="66">
        <f>X16*$AW$74</f>
        <v>9030</v>
      </c>
      <c r="AB28" s="67">
        <f t="shared" ref="AB28:AH28" si="73">Y16*$AW$74</f>
        <v>9030</v>
      </c>
      <c r="AC28" s="68">
        <f t="shared" si="73"/>
        <v>9030</v>
      </c>
      <c r="AD28" s="69">
        <f t="shared" si="73"/>
        <v>9030</v>
      </c>
      <c r="AE28" s="70">
        <f t="shared" si="73"/>
        <v>9030</v>
      </c>
      <c r="AF28" s="63">
        <f t="shared" si="73"/>
        <v>9030</v>
      </c>
      <c r="AG28" s="64">
        <f t="shared" si="73"/>
        <v>9030</v>
      </c>
      <c r="AH28" s="65">
        <f t="shared" si="73"/>
        <v>9030</v>
      </c>
      <c r="AI28" s="66">
        <f>AF16*$AW$81</f>
        <v>9030</v>
      </c>
      <c r="AJ28" s="67">
        <f t="shared" ref="AJ28:AQ28" si="74">AG16*$AW$81</f>
        <v>9030</v>
      </c>
      <c r="AK28" s="68">
        <f t="shared" si="74"/>
        <v>9030</v>
      </c>
      <c r="AL28" s="69">
        <f t="shared" si="74"/>
        <v>9030</v>
      </c>
      <c r="AM28" s="70">
        <f t="shared" si="74"/>
        <v>9030</v>
      </c>
      <c r="AN28" s="63">
        <f t="shared" si="74"/>
        <v>9030</v>
      </c>
      <c r="AO28" s="64">
        <f t="shared" si="74"/>
        <v>9030</v>
      </c>
      <c r="AP28" s="65">
        <f t="shared" si="74"/>
        <v>9030</v>
      </c>
      <c r="AQ28" s="66">
        <f t="shared" si="74"/>
        <v>9030</v>
      </c>
      <c r="AR28" s="6"/>
      <c r="AS28" s="89"/>
      <c r="AT28" s="89">
        <v>0</v>
      </c>
      <c r="AU28" s="89">
        <v>1099</v>
      </c>
      <c r="AV28" s="90">
        <v>250</v>
      </c>
      <c r="AW28" s="90">
        <f>AV28/5</f>
        <v>50</v>
      </c>
      <c r="AX28" s="6"/>
      <c r="AY28" s="6"/>
      <c r="AZ28" s="85"/>
      <c r="BA28" s="86"/>
      <c r="BB28" s="81"/>
      <c r="BC28" s="81"/>
      <c r="BD28" s="81"/>
      <c r="BE28" s="91"/>
      <c r="BF28" s="81"/>
    </row>
    <row r="29" spans="1:63" ht="16.5" thickTop="1" thickBot="1" x14ac:dyDescent="0.3">
      <c r="A29" s="20"/>
      <c r="B29" s="78"/>
      <c r="C29" s="79" t="s">
        <v>39</v>
      </c>
      <c r="D29" s="79"/>
      <c r="E29" s="79"/>
      <c r="F29" s="79"/>
      <c r="G29" s="79"/>
      <c r="H29" s="63">
        <v>0</v>
      </c>
      <c r="I29" s="64">
        <v>0</v>
      </c>
      <c r="J29" s="65">
        <v>0</v>
      </c>
      <c r="K29" s="66">
        <v>0</v>
      </c>
      <c r="L29" s="67">
        <v>0</v>
      </c>
      <c r="M29" s="68">
        <v>0</v>
      </c>
      <c r="N29" s="69">
        <v>0</v>
      </c>
      <c r="O29" s="70">
        <v>0</v>
      </c>
      <c r="P29" s="63">
        <v>0</v>
      </c>
      <c r="Q29" s="64">
        <v>0</v>
      </c>
      <c r="R29" s="65">
        <v>0</v>
      </c>
      <c r="S29" s="66">
        <v>0</v>
      </c>
      <c r="T29" s="67">
        <v>0</v>
      </c>
      <c r="U29" s="68">
        <v>0</v>
      </c>
      <c r="V29" s="69">
        <v>0</v>
      </c>
      <c r="W29" s="70">
        <f>AW116</f>
        <v>4640</v>
      </c>
      <c r="X29" s="63">
        <v>0</v>
      </c>
      <c r="Y29" s="64">
        <v>0</v>
      </c>
      <c r="Z29" s="65">
        <v>0</v>
      </c>
      <c r="AA29" s="66">
        <v>0</v>
      </c>
      <c r="AB29" s="67">
        <v>0</v>
      </c>
      <c r="AC29" s="68">
        <v>0</v>
      </c>
      <c r="AD29" s="69">
        <f>AW117</f>
        <v>1760</v>
      </c>
      <c r="AE29" s="70">
        <v>0</v>
      </c>
      <c r="AF29" s="63">
        <v>0</v>
      </c>
      <c r="AG29" s="64">
        <v>0</v>
      </c>
      <c r="AH29" s="65">
        <v>0</v>
      </c>
      <c r="AI29" s="66">
        <v>0</v>
      </c>
      <c r="AJ29" s="67">
        <v>0</v>
      </c>
      <c r="AK29" s="68">
        <f>AW119</f>
        <v>3200</v>
      </c>
      <c r="AL29" s="69">
        <v>0</v>
      </c>
      <c r="AM29" s="70">
        <v>0</v>
      </c>
      <c r="AN29" s="63">
        <v>0</v>
      </c>
      <c r="AO29" s="64">
        <v>0</v>
      </c>
      <c r="AP29" s="65">
        <v>0</v>
      </c>
      <c r="AQ29" s="66">
        <v>0</v>
      </c>
      <c r="AR29" s="92"/>
      <c r="AS29" s="89"/>
      <c r="AT29" s="89">
        <v>1100</v>
      </c>
      <c r="AU29" s="89">
        <v>1599</v>
      </c>
      <c r="AV29" s="90">
        <v>2407</v>
      </c>
      <c r="AW29" s="90">
        <f t="shared" ref="AW29:AW30" si="75">AV29/5</f>
        <v>481.4</v>
      </c>
      <c r="AX29" s="32"/>
      <c r="AY29" s="32"/>
      <c r="AZ29" s="85"/>
      <c r="BA29" s="86"/>
      <c r="BB29" s="81"/>
      <c r="BC29" s="81"/>
      <c r="BD29" s="85"/>
      <c r="BE29" s="86"/>
      <c r="BF29" s="81"/>
    </row>
    <row r="30" spans="1:63" ht="15.75" thickTop="1" x14ac:dyDescent="0.25">
      <c r="A30" s="20"/>
      <c r="B30" s="78"/>
      <c r="C30" s="79"/>
      <c r="D30" s="79"/>
      <c r="E30" s="79"/>
      <c r="F30" s="79"/>
      <c r="G30" s="80"/>
      <c r="H30" s="93"/>
      <c r="I30" s="93"/>
      <c r="J30" s="93"/>
      <c r="K30" s="93"/>
      <c r="L30" s="93"/>
      <c r="M30" s="93"/>
      <c r="N30" s="93"/>
      <c r="O30" s="93"/>
      <c r="P30" s="93"/>
      <c r="Q30" s="93"/>
      <c r="R30" s="93"/>
      <c r="S30" s="93"/>
      <c r="T30" s="93"/>
      <c r="U30" s="93"/>
      <c r="V30" s="93"/>
      <c r="W30" s="93"/>
      <c r="X30" s="93"/>
      <c r="Y30" s="2"/>
      <c r="Z30" s="93"/>
      <c r="AA30" s="93"/>
      <c r="AB30" s="93"/>
      <c r="AC30" s="93"/>
      <c r="AD30" s="93"/>
      <c r="AE30" s="93"/>
      <c r="AF30" s="93"/>
      <c r="AG30" s="93"/>
      <c r="AH30" s="93"/>
      <c r="AI30" s="93"/>
      <c r="AJ30" s="93"/>
      <c r="AK30" s="93"/>
      <c r="AL30" s="93"/>
      <c r="AM30" s="93"/>
      <c r="AN30" s="93"/>
      <c r="AO30" s="93"/>
      <c r="AP30" s="93"/>
      <c r="AQ30" s="93"/>
      <c r="AR30" s="92"/>
      <c r="AS30" s="89"/>
      <c r="AT30" s="89">
        <v>1600</v>
      </c>
      <c r="AU30" s="89">
        <v>2499</v>
      </c>
      <c r="AV30" s="90">
        <v>3369</v>
      </c>
      <c r="AW30" s="90">
        <f t="shared" si="75"/>
        <v>673.8</v>
      </c>
      <c r="AX30" s="32"/>
      <c r="AY30" s="32"/>
      <c r="AZ30" s="85"/>
      <c r="BA30" s="86"/>
      <c r="BB30" s="81"/>
      <c r="BC30" s="81"/>
      <c r="BD30" s="85"/>
      <c r="BE30" s="86"/>
      <c r="BF30" s="81"/>
    </row>
    <row r="31" spans="1:63" ht="15.75" thickBot="1" x14ac:dyDescent="0.3">
      <c r="A31" s="20"/>
      <c r="B31" s="78"/>
      <c r="C31" s="79"/>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2"/>
      <c r="AS31" s="89"/>
      <c r="AT31" s="89">
        <v>2500</v>
      </c>
      <c r="AU31" s="89" t="s">
        <v>4</v>
      </c>
      <c r="AV31" s="89">
        <v>0.56399999999999995</v>
      </c>
      <c r="AW31" s="89" t="s">
        <v>5</v>
      </c>
      <c r="AX31" s="32"/>
      <c r="AY31" s="32"/>
      <c r="AZ31" s="85"/>
      <c r="BA31" s="86"/>
      <c r="BB31" s="81"/>
      <c r="BC31" s="81"/>
      <c r="BD31" s="85"/>
      <c r="BE31" s="86"/>
      <c r="BF31" s="81"/>
      <c r="BI31" s="91"/>
    </row>
    <row r="32" spans="1:63" ht="16.5" thickTop="1" thickBot="1" x14ac:dyDescent="0.3">
      <c r="A32" s="20"/>
      <c r="B32" s="78"/>
      <c r="C32" s="79" t="s">
        <v>40</v>
      </c>
      <c r="D32" s="94"/>
      <c r="E32" s="94"/>
      <c r="F32" s="94"/>
      <c r="G32" s="94"/>
      <c r="H32" s="63">
        <f>$AW$62*E16</f>
        <v>5416.0822793216266</v>
      </c>
      <c r="I32" s="64">
        <f>$AW$62*F16</f>
        <v>5416.0822793216266</v>
      </c>
      <c r="J32" s="65">
        <f>$AW$62*G16</f>
        <v>5416.0822793216266</v>
      </c>
      <c r="K32" s="66">
        <f>$AW$62*H16</f>
        <v>5416.0822793216266</v>
      </c>
      <c r="L32" s="67">
        <f>$AW$62*I16</f>
        <v>5416.0822793216266</v>
      </c>
      <c r="M32" s="68">
        <f>($AW$62)*J16</f>
        <v>5416.0822793216266</v>
      </c>
      <c r="N32" s="69">
        <f>($AW$62)*K16</f>
        <v>5416.0822793216266</v>
      </c>
      <c r="O32" s="70">
        <f>($AW$62)*L16</f>
        <v>5416.0822793216266</v>
      </c>
      <c r="P32" s="63">
        <f>($AW$62)*M16</f>
        <v>5416.0822793216266</v>
      </c>
      <c r="Q32" s="64">
        <f>($AW$62)*N16</f>
        <v>5416.0822793216266</v>
      </c>
      <c r="R32" s="65">
        <f>($AW$62)*O16</f>
        <v>5416.0822793216266</v>
      </c>
      <c r="S32" s="66">
        <f>($AW$62)*P16</f>
        <v>5416.0822793216266</v>
      </c>
      <c r="T32" s="67">
        <f>($AW$62)*Q16</f>
        <v>5416.0822793216266</v>
      </c>
      <c r="U32" s="68">
        <f>($AW$62)*R16</f>
        <v>5416.0822793216266</v>
      </c>
      <c r="V32" s="69">
        <f>($AW$62)*S16</f>
        <v>5416.0822793216266</v>
      </c>
      <c r="W32" s="70">
        <f>$AW$70*T16</f>
        <v>5415.8567962047282</v>
      </c>
      <c r="X32" s="63">
        <f>$AW$70*U16</f>
        <v>5415.8567962047282</v>
      </c>
      <c r="Y32" s="64">
        <f>$AW$70*V16</f>
        <v>5415.8567962047282</v>
      </c>
      <c r="Z32" s="65">
        <f>$AW$70*W16</f>
        <v>5415.8567962047282</v>
      </c>
      <c r="AA32" s="66">
        <f>X16* ($AW$70-$AW$85)</f>
        <v>4204.0360811785613</v>
      </c>
      <c r="AB32" s="67">
        <f>Y16* ($AW$70-$AW$85)</f>
        <v>4204.0360811785613</v>
      </c>
      <c r="AC32" s="68">
        <f>Z16* ($AW$70-$AW$85)</f>
        <v>4204.0360811785613</v>
      </c>
      <c r="AD32" s="69">
        <f>AA16* ($AW$70-$AW$85)</f>
        <v>4204.0360811785613</v>
      </c>
      <c r="AE32" s="70">
        <f>AB16* ($AW$70-$AW$85)</f>
        <v>4204.0360811785613</v>
      </c>
      <c r="AF32" s="63">
        <f>AC16* ($AW$70-$AW$85)</f>
        <v>4204.0360811785613</v>
      </c>
      <c r="AG32" s="64">
        <f>AD16* ($AW$70-$AW$85)</f>
        <v>4204.0360811785613</v>
      </c>
      <c r="AH32" s="65">
        <f>AE16* ($AW$70-$AW$85)</f>
        <v>4204.0360811785613</v>
      </c>
      <c r="AI32" s="66">
        <f>AF16* ($AW$78-$AW$85)</f>
        <v>4160.1721753753072</v>
      </c>
      <c r="AJ32" s="67">
        <f>AG16* ($AW$78-$AW$85)</f>
        <v>4160.1721753753072</v>
      </c>
      <c r="AK32" s="68">
        <f>AH16* ($AW$78-$AW$85)</f>
        <v>4160.1721753753072</v>
      </c>
      <c r="AL32" s="69">
        <f t="shared" ref="AL32:AQ32" si="76">AI16* ($AW$78-$AW$85)</f>
        <v>4160.1721753753072</v>
      </c>
      <c r="AM32" s="70">
        <f t="shared" si="76"/>
        <v>4160.1721753753072</v>
      </c>
      <c r="AN32" s="63">
        <f t="shared" si="76"/>
        <v>4160.1721753753072</v>
      </c>
      <c r="AO32" s="64">
        <f t="shared" si="76"/>
        <v>4160.1721753753072</v>
      </c>
      <c r="AP32" s="65">
        <f t="shared" si="76"/>
        <v>4160.1721753753072</v>
      </c>
      <c r="AQ32" s="66">
        <f t="shared" si="76"/>
        <v>4160.1721753753072</v>
      </c>
      <c r="AR32" s="92"/>
      <c r="AX32" s="32"/>
      <c r="AY32" s="32"/>
      <c r="AZ32" s="85"/>
      <c r="BA32" s="86"/>
      <c r="BB32" s="81"/>
      <c r="BC32" s="81"/>
      <c r="BD32" s="85"/>
      <c r="BE32" s="86"/>
      <c r="BF32" s="81"/>
      <c r="BI32" s="91"/>
    </row>
    <row r="33" spans="1:64" ht="16.5" thickTop="1" thickBot="1" x14ac:dyDescent="0.3">
      <c r="A33" s="20"/>
      <c r="B33" s="78"/>
      <c r="C33" s="79" t="s">
        <v>41</v>
      </c>
      <c r="D33" s="94"/>
      <c r="E33" s="94"/>
      <c r="F33" s="94"/>
      <c r="G33" s="94"/>
      <c r="H33" s="63">
        <f>SUM(H24:H29,H32)</f>
        <v>18757.968107086046</v>
      </c>
      <c r="I33" s="64">
        <f>SUM(I24:I29,I32)</f>
        <v>18757.968107086046</v>
      </c>
      <c r="J33" s="65">
        <f t="shared" ref="J33:AE33" si="77">SUM(J24:J29,J32)</f>
        <v>18757.968107086046</v>
      </c>
      <c r="K33" s="66">
        <f t="shared" si="77"/>
        <v>18757.968107086046</v>
      </c>
      <c r="L33" s="67">
        <f t="shared" si="77"/>
        <v>18757.968107086046</v>
      </c>
      <c r="M33" s="68">
        <f t="shared" si="77"/>
        <v>18757.968107086046</v>
      </c>
      <c r="N33" s="69">
        <f t="shared" si="77"/>
        <v>18757.968107086046</v>
      </c>
      <c r="O33" s="70">
        <f t="shared" si="77"/>
        <v>17875.968107086046</v>
      </c>
      <c r="P33" s="63">
        <f t="shared" si="77"/>
        <v>17875.968107086046</v>
      </c>
      <c r="Q33" s="64">
        <f t="shared" si="77"/>
        <v>18463.968107086046</v>
      </c>
      <c r="R33" s="65">
        <f>SUM(R24:R29,R32)</f>
        <v>18463.968107086046</v>
      </c>
      <c r="S33" s="66">
        <f t="shared" si="77"/>
        <v>15676.634773752714</v>
      </c>
      <c r="T33" s="67">
        <f t="shared" si="77"/>
        <v>15676.634773752714</v>
      </c>
      <c r="U33" s="68">
        <f t="shared" si="77"/>
        <v>15676.634773752714</v>
      </c>
      <c r="V33" s="69">
        <f>SUM(V24:V29,V32)</f>
        <v>15676.634773752714</v>
      </c>
      <c r="W33" s="70">
        <f>SUM(W24:W29,W32)</f>
        <v>20722.561172935853</v>
      </c>
      <c r="X33" s="63">
        <f t="shared" si="77"/>
        <v>16082.561172935853</v>
      </c>
      <c r="Y33" s="64">
        <f t="shared" si="77"/>
        <v>16082.561172935853</v>
      </c>
      <c r="Z33" s="65">
        <f>SUM(Z24:Z29,Z32)</f>
        <v>16082.561172935853</v>
      </c>
      <c r="AA33" s="66">
        <f>SUM(AA24:AA29,AA32)</f>
        <v>15150.740457909687</v>
      </c>
      <c r="AB33" s="67">
        <f t="shared" si="77"/>
        <v>15150.740457909687</v>
      </c>
      <c r="AC33" s="68">
        <f t="shared" si="77"/>
        <v>15150.740457909687</v>
      </c>
      <c r="AD33" s="69">
        <f t="shared" si="77"/>
        <v>16910.740457909687</v>
      </c>
      <c r="AE33" s="70">
        <f t="shared" si="77"/>
        <v>15150.740457909687</v>
      </c>
      <c r="AF33" s="63">
        <f t="shared" ref="AF33:AQ33" si="78">SUM(AF24:AF29,AF32)</f>
        <v>15150.740457909687</v>
      </c>
      <c r="AG33" s="64">
        <f t="shared" si="78"/>
        <v>15150.740457909687</v>
      </c>
      <c r="AH33" s="65">
        <f>SUM(AH24:AH29,AH32)</f>
        <v>15150.740457909687</v>
      </c>
      <c r="AI33" s="66">
        <f t="shared" si="78"/>
        <v>15101.384762289526</v>
      </c>
      <c r="AJ33" s="67">
        <f t="shared" si="78"/>
        <v>15101.384762289526</v>
      </c>
      <c r="AK33" s="68">
        <f t="shared" si="78"/>
        <v>18301.384762289526</v>
      </c>
      <c r="AL33" s="69">
        <f t="shared" si="78"/>
        <v>15101.384762289526</v>
      </c>
      <c r="AM33" s="70">
        <f t="shared" si="78"/>
        <v>15101.384762289526</v>
      </c>
      <c r="AN33" s="63">
        <f t="shared" si="78"/>
        <v>15101.384762289526</v>
      </c>
      <c r="AO33" s="64">
        <f t="shared" si="78"/>
        <v>15101.384762289526</v>
      </c>
      <c r="AP33" s="65">
        <f t="shared" si="78"/>
        <v>15101.384762289526</v>
      </c>
      <c r="AQ33" s="66">
        <f t="shared" si="78"/>
        <v>15101.384762289526</v>
      </c>
      <c r="AR33" s="20"/>
      <c r="AS33" s="83" t="s">
        <v>43</v>
      </c>
      <c r="AT33" s="84"/>
      <c r="AU33" s="84"/>
      <c r="AV33" s="84"/>
      <c r="AW33" s="84"/>
      <c r="AX33" s="32"/>
      <c r="AY33" s="32"/>
      <c r="AZ33" s="85"/>
      <c r="BA33" s="86"/>
      <c r="BB33" s="81"/>
      <c r="BC33" s="81"/>
      <c r="BD33" s="85"/>
      <c r="BE33" s="86"/>
      <c r="BF33" s="81"/>
      <c r="BI33" s="91"/>
    </row>
    <row r="34" spans="1:64" ht="16.5" thickTop="1" thickBot="1" x14ac:dyDescent="0.3">
      <c r="A34" s="20"/>
      <c r="B34" s="78"/>
      <c r="C34" s="79"/>
      <c r="D34" s="94"/>
      <c r="E34" s="94"/>
      <c r="F34" s="94"/>
      <c r="G34" s="94"/>
      <c r="H34" s="94"/>
      <c r="I34" s="94"/>
      <c r="J34" s="94"/>
      <c r="K34" s="94"/>
      <c r="L34" s="94"/>
      <c r="M34" s="94"/>
      <c r="N34" s="94"/>
      <c r="O34" s="94"/>
      <c r="P34" s="94"/>
      <c r="Q34" s="94"/>
      <c r="R34" s="94"/>
      <c r="S34" s="94"/>
      <c r="T34" s="94"/>
      <c r="U34" s="94"/>
      <c r="V34" s="94"/>
      <c r="W34" s="94"/>
      <c r="X34" s="94"/>
      <c r="Y34" s="94"/>
      <c r="Z34" s="86"/>
      <c r="AA34" s="86"/>
      <c r="AB34" s="94"/>
      <c r="AC34" s="94"/>
      <c r="AD34" s="94"/>
      <c r="AE34" s="94"/>
      <c r="AF34" s="94"/>
      <c r="AG34" s="94"/>
      <c r="AH34" s="94"/>
      <c r="AI34" s="94"/>
      <c r="AJ34" s="94"/>
      <c r="AK34" s="94"/>
      <c r="AL34" s="94"/>
      <c r="AM34" s="94"/>
      <c r="AN34" s="94"/>
      <c r="AO34" s="94"/>
      <c r="AP34" s="94"/>
      <c r="AQ34" s="94"/>
      <c r="AR34" s="20"/>
      <c r="AS34" s="84"/>
      <c r="AT34" s="84"/>
      <c r="AU34" s="84"/>
      <c r="AV34" s="185" t="s">
        <v>0</v>
      </c>
      <c r="AW34" s="185" t="s">
        <v>1</v>
      </c>
      <c r="AX34" s="32"/>
      <c r="AY34" s="32"/>
      <c r="AZ34" s="85"/>
      <c r="BA34" s="86"/>
      <c r="BB34" s="81"/>
      <c r="BC34" s="81"/>
      <c r="BD34" s="85"/>
      <c r="BE34" s="86"/>
      <c r="BF34" s="81"/>
      <c r="BI34" s="91"/>
    </row>
    <row r="35" spans="1:64" ht="16.5" thickTop="1" thickBot="1" x14ac:dyDescent="0.3">
      <c r="A35" s="2"/>
      <c r="B35" s="78"/>
      <c r="C35" s="79" t="s">
        <v>42</v>
      </c>
      <c r="D35" s="95"/>
      <c r="E35" s="95"/>
      <c r="F35" s="96"/>
      <c r="G35" s="96"/>
      <c r="H35" s="97">
        <v>0</v>
      </c>
      <c r="I35" s="98">
        <f t="shared" ref="I35:M35" si="79">I33/G17-H33/F17</f>
        <v>0</v>
      </c>
      <c r="J35" s="99">
        <f t="shared" si="79"/>
        <v>0</v>
      </c>
      <c r="K35" s="100">
        <f t="shared" si="79"/>
        <v>0</v>
      </c>
      <c r="L35" s="101">
        <f t="shared" si="79"/>
        <v>0</v>
      </c>
      <c r="M35" s="102">
        <f t="shared" si="79"/>
        <v>0</v>
      </c>
      <c r="N35" s="103">
        <f>N33/L17-M33/K17</f>
        <v>0</v>
      </c>
      <c r="O35" s="104">
        <f>O33/M17-N33/L17</f>
        <v>-0.12599999999999989</v>
      </c>
      <c r="P35" s="97">
        <f t="shared" ref="P35:Y35" si="80">P33/N17-O33/M17</f>
        <v>0</v>
      </c>
      <c r="Q35" s="98">
        <f t="shared" si="80"/>
        <v>8.4000000000000075E-2</v>
      </c>
      <c r="R35" s="99">
        <f t="shared" si="80"/>
        <v>0</v>
      </c>
      <c r="S35" s="100">
        <f>S33/Q17-R33/P17</f>
        <v>-0.39819047619047643</v>
      </c>
      <c r="T35" s="101">
        <f>T33/R17-S33/Q17</f>
        <v>0</v>
      </c>
      <c r="U35" s="102">
        <f t="shared" si="80"/>
        <v>0</v>
      </c>
      <c r="V35" s="103">
        <f t="shared" si="80"/>
        <v>0</v>
      </c>
      <c r="W35" s="104">
        <f>(W33-W29)/U17-V33/T17</f>
        <v>5.7989485597591539E-2</v>
      </c>
      <c r="X35" s="97">
        <f>X33/V17-(W33-W29)/U17</f>
        <v>0</v>
      </c>
      <c r="Y35" s="98">
        <f t="shared" si="80"/>
        <v>0</v>
      </c>
      <c r="Z35" s="99">
        <f t="shared" ref="Z35" si="81">Z33/X17-Y33/W17</f>
        <v>0</v>
      </c>
      <c r="AA35" s="100">
        <f>AA33/Y17-Z33/X17</f>
        <v>-0.13311724500373812</v>
      </c>
      <c r="AB35" s="101">
        <f t="shared" ref="AB35" si="82">AB33/Z17-AA33/Y17</f>
        <v>0</v>
      </c>
      <c r="AC35" s="102">
        <f t="shared" ref="AC35" si="83">AC33/AA17-AB33/Z17</f>
        <v>0</v>
      </c>
      <c r="AD35" s="103">
        <f>(AD33-AD29)/AB17-AC33/AA17</f>
        <v>0</v>
      </c>
      <c r="AE35" s="104">
        <f>AE33/AC17-(AD33-AD29)/AB17</f>
        <v>0</v>
      </c>
      <c r="AF35" s="97">
        <f t="shared" ref="AF35" si="84">AF33/AD17-AE33/AC17</f>
        <v>0</v>
      </c>
      <c r="AG35" s="98">
        <f t="shared" ref="AG35" si="85">AG33/AE17-AF33/AD17</f>
        <v>0</v>
      </c>
      <c r="AH35" s="99">
        <f t="shared" ref="AH35" si="86">AH33/AF17-AG33/AE17</f>
        <v>0</v>
      </c>
      <c r="AI35" s="100">
        <f t="shared" ref="AI35" si="87">AI33/AG17-AH33/AF17</f>
        <v>-7.0508136600229143E-3</v>
      </c>
      <c r="AJ35" s="101">
        <f t="shared" ref="AJ35" si="88">AJ33/AH17-AI33/AG17</f>
        <v>0</v>
      </c>
      <c r="AK35" s="104">
        <f>(AK33-AK29)/AI17-AJ33/AH17</f>
        <v>0</v>
      </c>
      <c r="AL35" s="97">
        <f>AL33/AJ17-(AK33-AK29)/AI17</f>
        <v>0</v>
      </c>
      <c r="AM35" s="104">
        <f>AM33/AK17-AL33/AJ17</f>
        <v>0</v>
      </c>
      <c r="AN35" s="97">
        <f t="shared" ref="AN35:AQ35" si="89">AN33/AL17-AM33/AK17</f>
        <v>0</v>
      </c>
      <c r="AO35" s="98">
        <f t="shared" si="89"/>
        <v>0</v>
      </c>
      <c r="AP35" s="99">
        <f t="shared" si="89"/>
        <v>0</v>
      </c>
      <c r="AQ35" s="100">
        <f t="shared" si="89"/>
        <v>0</v>
      </c>
      <c r="AR35" s="20"/>
      <c r="AS35" s="84"/>
      <c r="AT35" s="88" t="s">
        <v>2</v>
      </c>
      <c r="AU35" s="88" t="s">
        <v>3</v>
      </c>
      <c r="AV35" s="185"/>
      <c r="AW35" s="185"/>
      <c r="AX35" s="32"/>
      <c r="AY35" s="32"/>
      <c r="AZ35" s="85"/>
      <c r="BA35" s="86"/>
      <c r="BB35" s="81"/>
      <c r="BC35" s="81"/>
      <c r="BD35" s="85"/>
      <c r="BE35" s="86"/>
      <c r="BF35" s="81"/>
    </row>
    <row r="36" spans="1:64" ht="15.75" thickTop="1" x14ac:dyDescent="0.25">
      <c r="A36" s="2"/>
      <c r="AR36" s="20"/>
      <c r="AS36" s="89"/>
      <c r="AT36" s="89">
        <v>0</v>
      </c>
      <c r="AU36" s="89">
        <v>1099</v>
      </c>
      <c r="AV36" s="90">
        <v>200</v>
      </c>
      <c r="AW36" s="90">
        <f>AV36/4</f>
        <v>50</v>
      </c>
      <c r="AX36" s="32"/>
      <c r="AY36" s="32"/>
      <c r="AZ36" s="85"/>
      <c r="BA36" s="86"/>
      <c r="BB36" s="81"/>
      <c r="BC36" s="81"/>
      <c r="BD36" s="85"/>
      <c r="BE36" s="86"/>
      <c r="BF36" s="81"/>
    </row>
    <row r="37" spans="1:64" x14ac:dyDescent="0.25">
      <c r="A37" s="2"/>
      <c r="AR37" s="20"/>
      <c r="AS37" s="89"/>
      <c r="AT37" s="89">
        <v>1100</v>
      </c>
      <c r="AU37" s="89">
        <v>1599</v>
      </c>
      <c r="AV37" s="90">
        <v>1926</v>
      </c>
      <c r="AW37" s="90">
        <f>AV37/4</f>
        <v>481.5</v>
      </c>
      <c r="AY37" s="32"/>
      <c r="AZ37" s="85"/>
      <c r="BA37" s="86"/>
      <c r="BB37" s="81"/>
      <c r="BC37" s="81"/>
      <c r="BD37" s="85"/>
      <c r="BE37" s="86"/>
      <c r="BF37" s="81"/>
    </row>
    <row r="38" spans="1:64" ht="15.75" thickBot="1" x14ac:dyDescent="0.3">
      <c r="A38" s="2"/>
      <c r="E38" s="29">
        <v>42370</v>
      </c>
      <c r="F38" s="28">
        <v>42401</v>
      </c>
      <c r="G38" s="28">
        <v>42430</v>
      </c>
      <c r="H38" s="28">
        <v>42461</v>
      </c>
      <c r="I38" s="28">
        <v>42491</v>
      </c>
      <c r="J38" s="28">
        <v>42522</v>
      </c>
      <c r="K38" s="28">
        <v>42552</v>
      </c>
      <c r="L38" s="28">
        <v>42583</v>
      </c>
      <c r="M38" s="28">
        <v>42614</v>
      </c>
      <c r="N38" s="28">
        <v>42644</v>
      </c>
      <c r="O38" s="28">
        <v>42675</v>
      </c>
      <c r="P38" s="28">
        <v>42705</v>
      </c>
      <c r="Q38" s="28">
        <v>42736</v>
      </c>
      <c r="R38" s="28">
        <v>42767</v>
      </c>
      <c r="S38" s="28">
        <v>42795</v>
      </c>
      <c r="T38" s="28">
        <v>42826</v>
      </c>
      <c r="U38" s="28">
        <v>42856</v>
      </c>
      <c r="V38" s="28">
        <v>42887</v>
      </c>
      <c r="W38" s="28">
        <v>42917</v>
      </c>
      <c r="X38" s="28">
        <v>42948</v>
      </c>
      <c r="Y38" s="28">
        <v>42979</v>
      </c>
      <c r="Z38" s="28">
        <v>43009</v>
      </c>
      <c r="AA38" s="28">
        <v>43040</v>
      </c>
      <c r="AB38" s="28">
        <v>43070</v>
      </c>
      <c r="AC38" s="28">
        <v>43101</v>
      </c>
      <c r="AD38" s="28">
        <v>43132</v>
      </c>
      <c r="AE38" s="28">
        <v>43160</v>
      </c>
      <c r="AF38" s="28">
        <v>43191</v>
      </c>
      <c r="AG38" s="28">
        <v>43221</v>
      </c>
      <c r="AH38" s="28">
        <v>43252</v>
      </c>
      <c r="AI38" s="28">
        <v>43282</v>
      </c>
      <c r="AJ38" s="28">
        <v>43313</v>
      </c>
      <c r="AK38" s="28">
        <v>43344</v>
      </c>
      <c r="AL38" s="28">
        <v>43374</v>
      </c>
      <c r="AM38" s="28">
        <v>43405</v>
      </c>
      <c r="AN38" s="28">
        <v>43435</v>
      </c>
      <c r="AO38" s="28">
        <v>43466</v>
      </c>
      <c r="AP38" s="28">
        <v>43497</v>
      </c>
      <c r="AQ38" s="28">
        <v>43525</v>
      </c>
      <c r="AR38" s="20"/>
      <c r="AS38" s="89"/>
      <c r="AT38" s="89">
        <v>1600</v>
      </c>
      <c r="AU38" s="89">
        <v>2499</v>
      </c>
      <c r="AV38" s="90">
        <v>2695</v>
      </c>
      <c r="AW38" s="90">
        <f>AV38/4</f>
        <v>673.75</v>
      </c>
      <c r="AX38" s="32"/>
      <c r="AY38" s="32"/>
      <c r="AZ38" s="85"/>
      <c r="BA38" s="86"/>
      <c r="BB38" s="81"/>
      <c r="BC38" s="81"/>
      <c r="BD38" s="85"/>
      <c r="BE38" s="86"/>
      <c r="BF38" s="81"/>
      <c r="BH38" s="190"/>
      <c r="BI38" s="191"/>
      <c r="BJ38" s="191"/>
      <c r="BK38" s="191"/>
      <c r="BL38" s="191"/>
    </row>
    <row r="39" spans="1:64" x14ac:dyDescent="0.25">
      <c r="A39" s="2"/>
      <c r="C39" s="13" t="s">
        <v>44</v>
      </c>
      <c r="E39" s="105">
        <f t="shared" ref="E39:AE39" si="90">E21</f>
        <v>0</v>
      </c>
      <c r="F39" s="105">
        <f t="shared" si="90"/>
        <v>0</v>
      </c>
      <c r="G39" s="105">
        <f>G21</f>
        <v>66990</v>
      </c>
      <c r="H39" s="105">
        <f t="shared" si="90"/>
        <v>64470</v>
      </c>
      <c r="I39" s="105">
        <f t="shared" si="90"/>
        <v>65309.999999999985</v>
      </c>
      <c r="J39" s="105">
        <f t="shared" si="90"/>
        <v>65519.999999999993</v>
      </c>
      <c r="K39" s="105">
        <f t="shared" si="90"/>
        <v>65519.999999999993</v>
      </c>
      <c r="L39" s="105">
        <f t="shared" si="90"/>
        <v>65380.000000000007</v>
      </c>
      <c r="M39" s="105">
        <f t="shared" si="90"/>
        <v>63490.000000000015</v>
      </c>
      <c r="N39" s="105">
        <f>N21</f>
        <v>64749.999999999993</v>
      </c>
      <c r="O39" s="105">
        <f t="shared" si="90"/>
        <v>62929.999999999985</v>
      </c>
      <c r="P39" s="105">
        <f t="shared" si="90"/>
        <v>64470.000000000007</v>
      </c>
      <c r="Q39" s="105">
        <f t="shared" si="90"/>
        <v>64676.330338901811</v>
      </c>
      <c r="R39" s="105">
        <f t="shared" si="90"/>
        <v>64277.280167727644</v>
      </c>
      <c r="S39" s="105">
        <f t="shared" si="90"/>
        <v>59592.455596511434</v>
      </c>
      <c r="T39" s="105">
        <f t="shared" si="90"/>
        <v>60899.410878073766</v>
      </c>
      <c r="U39" s="105">
        <f t="shared" si="90"/>
        <v>61812.282455612396</v>
      </c>
      <c r="V39" s="105">
        <f>V21</f>
        <v>61112.978629784331</v>
      </c>
      <c r="W39" s="105">
        <f t="shared" si="90"/>
        <v>61511.192524676335</v>
      </c>
      <c r="X39" s="105">
        <f t="shared" si="90"/>
        <v>62683.025519662471</v>
      </c>
      <c r="Y39" s="105">
        <f>Y21</f>
        <v>65009.209998449398</v>
      </c>
      <c r="Z39" s="105">
        <f>Z21</f>
        <v>64329.132189819429</v>
      </c>
      <c r="AA39" s="105">
        <f t="shared" si="90"/>
        <v>60602.687927998901</v>
      </c>
      <c r="AB39" s="105">
        <f t="shared" si="90"/>
        <v>63537.97948536402</v>
      </c>
      <c r="AC39" s="105">
        <f t="shared" si="90"/>
        <v>62590.697077575795</v>
      </c>
      <c r="AD39" s="105">
        <f t="shared" si="90"/>
        <v>61573.140925459324</v>
      </c>
      <c r="AE39" s="105">
        <f t="shared" si="90"/>
        <v>59977.09588759936</v>
      </c>
      <c r="AF39" s="105">
        <f t="shared" ref="AF39:AQ39" si="91">AF21</f>
        <v>59717.020935379885</v>
      </c>
      <c r="AG39" s="105">
        <f t="shared" si="91"/>
        <v>60392.764679150088</v>
      </c>
      <c r="AH39" s="105">
        <f t="shared" si="91"/>
        <v>60392.764679150088</v>
      </c>
      <c r="AI39" s="105">
        <f t="shared" si="91"/>
        <v>60294.053287909774</v>
      </c>
      <c r="AJ39" s="105">
        <f t="shared" si="91"/>
        <v>60343.408983529931</v>
      </c>
      <c r="AK39" s="105">
        <f t="shared" si="91"/>
        <v>60343.408983529931</v>
      </c>
      <c r="AL39" s="105">
        <f t="shared" si="91"/>
        <v>60343.408983529931</v>
      </c>
      <c r="AM39" s="105">
        <f t="shared" si="91"/>
        <v>60343.408983529931</v>
      </c>
      <c r="AN39" s="105">
        <f t="shared" si="91"/>
        <v>60343.408983529931</v>
      </c>
      <c r="AO39" s="105">
        <f t="shared" si="91"/>
        <v>60343.408983529931</v>
      </c>
      <c r="AP39" s="105">
        <f t="shared" si="91"/>
        <v>60343.408983529931</v>
      </c>
      <c r="AQ39" s="105">
        <f t="shared" si="91"/>
        <v>60343.408983529931</v>
      </c>
      <c r="AR39" s="20"/>
      <c r="AS39" s="89"/>
      <c r="AT39" s="89">
        <v>2500</v>
      </c>
      <c r="AU39" s="89" t="s">
        <v>4</v>
      </c>
      <c r="AV39" s="89">
        <v>0.56399999999999995</v>
      </c>
      <c r="AW39" s="89" t="s">
        <v>5</v>
      </c>
      <c r="AX39" s="107"/>
      <c r="AY39" s="32"/>
      <c r="AZ39" s="85"/>
      <c r="BA39" s="86"/>
      <c r="BB39" s="81"/>
      <c r="BC39" s="81"/>
      <c r="BD39" s="85"/>
      <c r="BE39" s="86"/>
      <c r="BF39" s="81"/>
      <c r="BH39" s="190"/>
      <c r="BI39" s="191"/>
      <c r="BJ39" s="191"/>
      <c r="BK39" s="191"/>
      <c r="BL39" s="191"/>
    </row>
    <row r="40" spans="1:64" x14ac:dyDescent="0.25">
      <c r="A40" s="2"/>
      <c r="C40" s="13" t="s">
        <v>45</v>
      </c>
      <c r="F40" s="106"/>
      <c r="G40" s="106">
        <f t="shared" ref="G40:AE40" si="92">G39/$G$39</f>
        <v>1</v>
      </c>
      <c r="H40" s="106">
        <f t="shared" si="92"/>
        <v>0.96238244514106586</v>
      </c>
      <c r="I40" s="106">
        <f t="shared" si="92"/>
        <v>0.97492163009404365</v>
      </c>
      <c r="J40" s="106">
        <f>J39/$G$39</f>
        <v>0.97805642633228829</v>
      </c>
      <c r="K40" s="106">
        <f t="shared" si="92"/>
        <v>0.97805642633228829</v>
      </c>
      <c r="L40" s="106">
        <f t="shared" si="92"/>
        <v>0.97596656217345878</v>
      </c>
      <c r="M40" s="106">
        <f t="shared" si="92"/>
        <v>0.94775339602925834</v>
      </c>
      <c r="N40" s="106">
        <f t="shared" si="92"/>
        <v>0.96656217345872508</v>
      </c>
      <c r="O40" s="106">
        <f t="shared" si="92"/>
        <v>0.93939393939393923</v>
      </c>
      <c r="P40" s="106">
        <f t="shared" si="92"/>
        <v>0.96238244514106597</v>
      </c>
      <c r="Q40" s="106">
        <f t="shared" si="92"/>
        <v>0.96546246214213782</v>
      </c>
      <c r="R40" s="106">
        <f t="shared" si="92"/>
        <v>0.95950560035419685</v>
      </c>
      <c r="S40" s="106">
        <f t="shared" si="92"/>
        <v>0.88957240776998703</v>
      </c>
      <c r="T40" s="106">
        <v>1</v>
      </c>
      <c r="U40" s="106">
        <f>U39/$T$39</f>
        <v>1.0149898260816723</v>
      </c>
      <c r="V40" s="106">
        <f t="shared" ref="V40:AQ40" si="93">V39/$T$39</f>
        <v>1.0035068935582669</v>
      </c>
      <c r="W40" s="106">
        <f t="shared" si="93"/>
        <v>1.0100457728208145</v>
      </c>
      <c r="X40" s="106">
        <f t="shared" si="93"/>
        <v>1.0292878800611005</v>
      </c>
      <c r="Y40" s="106">
        <f t="shared" si="93"/>
        <v>1.0674850390359905</v>
      </c>
      <c r="Z40" s="106">
        <f t="shared" si="93"/>
        <v>1.0563178077143025</v>
      </c>
      <c r="AA40" s="106">
        <f t="shared" si="93"/>
        <v>0.99512765483612098</v>
      </c>
      <c r="AB40" s="106">
        <f t="shared" si="93"/>
        <v>1.0433266688338401</v>
      </c>
      <c r="AC40" s="106">
        <f t="shared" si="93"/>
        <v>1.0277717990226234</v>
      </c>
      <c r="AD40" s="106">
        <f t="shared" si="93"/>
        <v>1.011062997780626</v>
      </c>
      <c r="AE40" s="106">
        <f t="shared" si="93"/>
        <v>0.98485510816646538</v>
      </c>
      <c r="AF40" s="106">
        <f t="shared" si="93"/>
        <v>0.98058454218775393</v>
      </c>
      <c r="AG40" s="106">
        <f t="shared" si="93"/>
        <v>0.99168060591032592</v>
      </c>
      <c r="AH40" s="106">
        <f t="shared" si="93"/>
        <v>0.99168060591032592</v>
      </c>
      <c r="AI40" s="106">
        <f t="shared" si="93"/>
        <v>0.99005971352701627</v>
      </c>
      <c r="AJ40" s="106">
        <f t="shared" si="93"/>
        <v>0.9908701597186711</v>
      </c>
      <c r="AK40" s="106">
        <f t="shared" si="93"/>
        <v>0.9908701597186711</v>
      </c>
      <c r="AL40" s="106">
        <f t="shared" si="93"/>
        <v>0.9908701597186711</v>
      </c>
      <c r="AM40" s="106">
        <f t="shared" si="93"/>
        <v>0.9908701597186711</v>
      </c>
      <c r="AN40" s="106">
        <f t="shared" si="93"/>
        <v>0.9908701597186711</v>
      </c>
      <c r="AO40" s="106">
        <f t="shared" si="93"/>
        <v>0.9908701597186711</v>
      </c>
      <c r="AP40" s="106">
        <f t="shared" si="93"/>
        <v>0.9908701597186711</v>
      </c>
      <c r="AQ40" s="106">
        <f t="shared" si="93"/>
        <v>0.9908701597186711</v>
      </c>
      <c r="AR40" s="20"/>
      <c r="AS40" s="32"/>
      <c r="AT40" s="32"/>
      <c r="AU40" s="32"/>
      <c r="AV40" s="32"/>
      <c r="AW40" s="32"/>
      <c r="AX40" s="109"/>
      <c r="AZ40" s="85"/>
      <c r="BA40" s="86"/>
      <c r="BB40" s="81"/>
      <c r="BC40" s="81"/>
      <c r="BD40" s="85"/>
      <c r="BE40" s="86"/>
      <c r="BF40" s="81"/>
    </row>
    <row r="41" spans="1:64" x14ac:dyDescent="0.25">
      <c r="A41" s="2"/>
      <c r="AR41" s="20"/>
      <c r="AS41" s="83" t="s">
        <v>46</v>
      </c>
      <c r="AT41" s="84"/>
      <c r="AU41" s="84"/>
      <c r="AV41" s="84"/>
      <c r="AW41" s="84"/>
      <c r="AX41" s="109"/>
      <c r="AY41" s="32"/>
      <c r="AZ41" s="85"/>
      <c r="BA41" s="86"/>
      <c r="BB41" s="81"/>
      <c r="BC41" s="81"/>
      <c r="BD41" s="85"/>
      <c r="BE41" s="86"/>
      <c r="BF41" s="81"/>
    </row>
    <row r="42" spans="1:64" x14ac:dyDescent="0.25">
      <c r="A42" s="2"/>
      <c r="AR42" s="20"/>
      <c r="AS42" s="84"/>
      <c r="AT42" s="84"/>
      <c r="AU42" s="84"/>
      <c r="AV42" s="185" t="s">
        <v>0</v>
      </c>
      <c r="AW42" s="185" t="s">
        <v>1</v>
      </c>
      <c r="AX42" s="109"/>
      <c r="AY42" s="108"/>
      <c r="AZ42" s="85"/>
      <c r="BA42" s="86"/>
      <c r="BB42" s="81"/>
      <c r="BC42" s="81"/>
      <c r="BD42" s="85"/>
      <c r="BE42" s="86"/>
      <c r="BF42" s="81"/>
      <c r="BG42" s="18"/>
    </row>
    <row r="43" spans="1:64" x14ac:dyDescent="0.25">
      <c r="A43" s="2"/>
      <c r="D43" s="6"/>
      <c r="E43" s="6"/>
      <c r="F43" s="6"/>
      <c r="G43" s="6"/>
      <c r="AR43" s="20"/>
      <c r="AS43" s="84"/>
      <c r="AT43" s="88" t="s">
        <v>2</v>
      </c>
      <c r="AU43" s="88" t="s">
        <v>3</v>
      </c>
      <c r="AV43" s="185"/>
      <c r="AW43" s="185"/>
      <c r="AX43" s="109"/>
      <c r="AY43" s="109"/>
      <c r="AZ43" s="85"/>
      <c r="BA43" s="86"/>
      <c r="BB43" s="81"/>
      <c r="BC43" s="81"/>
      <c r="BD43" s="85"/>
      <c r="BE43" s="86"/>
      <c r="BF43" s="81"/>
    </row>
    <row r="44" spans="1:64" x14ac:dyDescent="0.25">
      <c r="A44" s="2"/>
      <c r="AR44" s="20"/>
      <c r="AS44" s="89"/>
      <c r="AT44" s="89">
        <v>0</v>
      </c>
      <c r="AU44" s="89">
        <v>1099</v>
      </c>
      <c r="AV44" s="90">
        <v>100</v>
      </c>
      <c r="AW44" s="90">
        <f>AV44/2</f>
        <v>50</v>
      </c>
      <c r="AX44" s="109"/>
      <c r="AY44" s="109"/>
      <c r="AZ44" s="85"/>
      <c r="BA44" s="86"/>
      <c r="BB44" s="81"/>
      <c r="BC44" s="81"/>
      <c r="BD44" s="85"/>
      <c r="BE44" s="86"/>
      <c r="BF44" s="81"/>
    </row>
    <row r="45" spans="1:64" x14ac:dyDescent="0.25">
      <c r="A45" s="2"/>
      <c r="AR45" s="20"/>
      <c r="AS45" s="89"/>
      <c r="AT45" s="89">
        <v>1100</v>
      </c>
      <c r="AU45" s="89">
        <v>1599</v>
      </c>
      <c r="AV45" s="90">
        <v>748</v>
      </c>
      <c r="AW45" s="90">
        <f>AV45/2</f>
        <v>374</v>
      </c>
      <c r="AX45" s="109"/>
      <c r="AY45" s="109"/>
      <c r="AZ45" s="85"/>
      <c r="BA45" s="86"/>
      <c r="BB45" s="81"/>
      <c r="BC45" s="81"/>
      <c r="BD45" s="85"/>
      <c r="BE45" s="86"/>
      <c r="BF45" s="81"/>
    </row>
    <row r="46" spans="1:64" x14ac:dyDescent="0.25">
      <c r="W46" s="163"/>
      <c r="AR46" s="20"/>
      <c r="AS46" s="89"/>
      <c r="AT46" s="89">
        <v>1600</v>
      </c>
      <c r="AU46" s="89">
        <v>2499</v>
      </c>
      <c r="AV46" s="90">
        <v>1047</v>
      </c>
      <c r="AW46" s="90">
        <f>AV46/2</f>
        <v>523.5</v>
      </c>
      <c r="AX46" s="109"/>
      <c r="AY46" s="109"/>
      <c r="AZ46" s="110"/>
      <c r="BA46" s="111"/>
      <c r="BB46" s="93"/>
      <c r="BC46" s="93"/>
      <c r="BD46" s="93"/>
      <c r="BE46" s="93"/>
      <c r="BF46" s="91"/>
    </row>
    <row r="47" spans="1:64" x14ac:dyDescent="0.25">
      <c r="AR47" s="20"/>
      <c r="AS47" s="89"/>
      <c r="AT47" s="89">
        <v>2500</v>
      </c>
      <c r="AU47" s="89" t="s">
        <v>4</v>
      </c>
      <c r="AV47" s="89">
        <v>0.438</v>
      </c>
      <c r="AW47" s="89" t="s">
        <v>5</v>
      </c>
      <c r="AX47" s="109"/>
      <c r="AY47" s="109"/>
      <c r="AZ47" s="110"/>
      <c r="BA47" s="111"/>
      <c r="BB47" s="93"/>
      <c r="BC47" s="93"/>
      <c r="BD47" s="93"/>
      <c r="BE47" s="93"/>
      <c r="BF47" s="91"/>
    </row>
    <row r="48" spans="1:64" x14ac:dyDescent="0.25">
      <c r="Q48" s="13"/>
      <c r="W48" s="16"/>
      <c r="AR48" s="20"/>
      <c r="AS48" s="32"/>
      <c r="AT48" s="32"/>
      <c r="AU48" s="32"/>
      <c r="AV48" s="32"/>
      <c r="AW48" s="32"/>
      <c r="AX48" s="109"/>
      <c r="AY48" s="109"/>
      <c r="AZ48" s="110"/>
      <c r="BA48" s="111"/>
      <c r="BB48" s="93"/>
      <c r="BC48" s="93"/>
      <c r="BD48" s="93"/>
      <c r="BE48" s="93"/>
      <c r="BF48" s="91"/>
    </row>
    <row r="49" spans="8:59" x14ac:dyDescent="0.25">
      <c r="Q49" s="133"/>
      <c r="W49" s="16"/>
      <c r="AR49" s="20"/>
      <c r="AS49" s="83" t="s">
        <v>47</v>
      </c>
      <c r="AT49" s="84"/>
      <c r="AU49" s="84"/>
      <c r="AV49" s="84"/>
      <c r="AW49" s="84"/>
      <c r="AX49" s="109"/>
      <c r="AY49" s="109"/>
      <c r="AZ49" s="110"/>
      <c r="BA49" s="111"/>
      <c r="BB49" s="112"/>
      <c r="BC49" s="113"/>
      <c r="BD49" s="93"/>
      <c r="BE49" s="93"/>
      <c r="BF49" s="91"/>
    </row>
    <row r="50" spans="8:59" x14ac:dyDescent="0.25">
      <c r="Q50" s="133"/>
      <c r="W50" s="16"/>
      <c r="X50" s="16"/>
      <c r="AR50" s="20"/>
      <c r="AS50" s="84"/>
      <c r="AT50" s="84"/>
      <c r="AU50" s="84"/>
      <c r="AV50" s="185" t="s">
        <v>0</v>
      </c>
      <c r="AW50" s="185" t="s">
        <v>1</v>
      </c>
      <c r="AX50" s="109"/>
      <c r="AY50" s="109"/>
      <c r="AZ50" s="110"/>
      <c r="BA50" s="111"/>
      <c r="BB50" s="2"/>
      <c r="BC50" s="2"/>
      <c r="BD50" s="2"/>
      <c r="BE50" s="2"/>
    </row>
    <row r="51" spans="8:59" x14ac:dyDescent="0.25">
      <c r="H51" s="13"/>
      <c r="I51" s="13"/>
      <c r="Q51" s="133"/>
      <c r="W51" s="16"/>
      <c r="X51" s="16"/>
      <c r="AR51" s="20"/>
      <c r="AS51" s="84"/>
      <c r="AT51" s="88" t="s">
        <v>2</v>
      </c>
      <c r="AU51" s="88" t="s">
        <v>3</v>
      </c>
      <c r="AV51" s="185"/>
      <c r="AW51" s="185"/>
      <c r="AX51" s="109"/>
      <c r="AY51" s="109"/>
      <c r="AZ51" s="110"/>
      <c r="BA51" s="111"/>
      <c r="BB51" s="2"/>
      <c r="BC51" s="2"/>
      <c r="BD51" s="2"/>
      <c r="BE51" s="2"/>
      <c r="BG51" s="114"/>
    </row>
    <row r="52" spans="8:59" x14ac:dyDescent="0.25">
      <c r="H52" s="13"/>
      <c r="I52" s="13"/>
      <c r="Q52" s="133"/>
      <c r="W52" s="16"/>
      <c r="X52" s="16"/>
      <c r="AR52" s="20"/>
      <c r="AS52" s="89"/>
      <c r="AT52" s="89">
        <v>0</v>
      </c>
      <c r="AU52" s="89">
        <v>1099</v>
      </c>
      <c r="AV52" s="90">
        <f>2*AW52</f>
        <v>100</v>
      </c>
      <c r="AW52" s="90">
        <v>50</v>
      </c>
      <c r="AY52" s="109"/>
      <c r="AZ52" s="110"/>
      <c r="BA52" s="111"/>
      <c r="BB52" s="2"/>
      <c r="BC52" s="2"/>
      <c r="BD52" s="2"/>
      <c r="BE52" s="2"/>
    </row>
    <row r="53" spans="8:59" x14ac:dyDescent="0.25">
      <c r="H53" s="13"/>
      <c r="I53" s="13"/>
      <c r="Q53" s="133"/>
      <c r="W53" s="16"/>
      <c r="X53" s="16"/>
      <c r="AR53" s="20"/>
      <c r="AS53" s="89"/>
      <c r="AT53" s="89">
        <v>1100</v>
      </c>
      <c r="AU53" s="89">
        <v>1599</v>
      </c>
      <c r="AV53" s="90">
        <f t="shared" ref="AV53:AV54" si="94">2*AW53</f>
        <v>891</v>
      </c>
      <c r="AW53" s="90">
        <v>445.5</v>
      </c>
      <c r="AY53" s="109"/>
      <c r="AZ53" s="110"/>
      <c r="BA53" s="111"/>
      <c r="BB53" s="2"/>
      <c r="BC53" s="2"/>
      <c r="BD53" s="2"/>
      <c r="BE53" s="2"/>
    </row>
    <row r="54" spans="8:59" x14ac:dyDescent="0.25">
      <c r="H54" s="13"/>
      <c r="I54" s="13"/>
      <c r="Q54" s="133"/>
      <c r="W54" s="16"/>
      <c r="X54" s="16"/>
      <c r="AR54" s="20"/>
      <c r="AS54" s="89"/>
      <c r="AT54" s="89">
        <v>1600</v>
      </c>
      <c r="AU54" s="89">
        <v>2499</v>
      </c>
      <c r="AV54" s="90">
        <f t="shared" si="94"/>
        <v>1247.3333333333333</v>
      </c>
      <c r="AW54" s="90">
        <v>623.66666666666663</v>
      </c>
      <c r="AX54" s="115"/>
      <c r="AY54" s="109"/>
      <c r="AZ54" s="110"/>
      <c r="BA54" s="111"/>
      <c r="BB54" s="2"/>
      <c r="BC54" s="2"/>
      <c r="BD54" s="2"/>
      <c r="BE54" s="2"/>
      <c r="BF54" s="2"/>
    </row>
    <row r="55" spans="8:59" x14ac:dyDescent="0.25">
      <c r="Q55" s="133"/>
      <c r="W55" s="16"/>
      <c r="X55" s="16"/>
      <c r="AR55" s="20"/>
      <c r="AS55" s="89"/>
      <c r="AT55" s="89">
        <v>2500</v>
      </c>
      <c r="AU55" s="89" t="s">
        <v>4</v>
      </c>
      <c r="AV55" s="89">
        <v>0.52200000000000002</v>
      </c>
      <c r="AW55" s="89" t="s">
        <v>5</v>
      </c>
      <c r="AZ55" s="110"/>
      <c r="BA55" s="111"/>
      <c r="BB55" s="2"/>
      <c r="BC55" s="2"/>
      <c r="BD55" s="2"/>
      <c r="BE55" s="2"/>
      <c r="BF55" s="2"/>
    </row>
    <row r="56" spans="8:59" x14ac:dyDescent="0.25">
      <c r="Q56" s="133"/>
      <c r="W56" s="16"/>
      <c r="AR56" s="20"/>
      <c r="AS56" s="32"/>
      <c r="AT56" s="32"/>
      <c r="AU56" s="32"/>
      <c r="AV56" s="32"/>
      <c r="AW56" s="32"/>
      <c r="AZ56" s="110"/>
      <c r="BA56" s="111"/>
      <c r="BB56" s="2"/>
      <c r="BC56" s="2"/>
      <c r="BD56" s="2"/>
      <c r="BE56" s="2"/>
      <c r="BF56" s="2"/>
    </row>
    <row r="57" spans="8:59" x14ac:dyDescent="0.25">
      <c r="Q57" s="133"/>
      <c r="W57" s="16"/>
      <c r="X57" s="16"/>
      <c r="AR57" s="20"/>
      <c r="AS57" s="116" t="s">
        <v>48</v>
      </c>
      <c r="AT57" s="117"/>
      <c r="AU57" s="117"/>
      <c r="AV57" s="117" t="s">
        <v>49</v>
      </c>
      <c r="AW57" s="118">
        <v>80000</v>
      </c>
      <c r="AY57" s="115"/>
      <c r="AZ57" s="110"/>
      <c r="BA57" s="111"/>
      <c r="BB57" s="2"/>
      <c r="BC57" s="2"/>
    </row>
    <row r="58" spans="8:59" x14ac:dyDescent="0.25">
      <c r="Q58" s="133"/>
      <c r="W58" s="16"/>
      <c r="X58" s="16"/>
      <c r="AR58" s="20"/>
      <c r="AS58" s="117"/>
      <c r="AT58" s="117"/>
      <c r="AU58" s="117"/>
      <c r="AV58" s="117" t="s">
        <v>50</v>
      </c>
      <c r="AW58" s="119">
        <v>1</v>
      </c>
      <c r="AZ58" s="85"/>
      <c r="BA58" s="86"/>
    </row>
    <row r="59" spans="8:59" x14ac:dyDescent="0.25">
      <c r="Q59" s="133"/>
      <c r="W59" s="16"/>
      <c r="AR59" s="20"/>
      <c r="AS59" s="32"/>
      <c r="AT59" s="32"/>
      <c r="AU59" s="32"/>
      <c r="AV59" s="32"/>
      <c r="AW59" s="32"/>
    </row>
    <row r="60" spans="8:59" x14ac:dyDescent="0.25">
      <c r="Q60" s="133"/>
      <c r="W60" s="16"/>
      <c r="AR60" s="20"/>
      <c r="AS60" s="120" t="s">
        <v>97</v>
      </c>
      <c r="AT60" s="121"/>
      <c r="AU60" s="121"/>
      <c r="AV60" s="121" t="s">
        <v>51</v>
      </c>
      <c r="AW60" s="122">
        <v>800000000</v>
      </c>
    </row>
    <row r="61" spans="8:59" x14ac:dyDescent="0.25">
      <c r="Q61" s="133"/>
      <c r="W61" s="16"/>
      <c r="AR61" s="20"/>
      <c r="AS61" s="121"/>
      <c r="AT61" s="121"/>
      <c r="AU61" s="121"/>
      <c r="AV61" s="121" t="s">
        <v>52</v>
      </c>
      <c r="AW61" s="123">
        <v>1033957704.3318864</v>
      </c>
    </row>
    <row r="62" spans="8:59" x14ac:dyDescent="0.25">
      <c r="Q62" s="133"/>
      <c r="W62" s="16"/>
      <c r="AS62" s="121"/>
      <c r="AT62" s="121"/>
      <c r="AU62" s="121"/>
      <c r="AV62" s="121" t="s">
        <v>53</v>
      </c>
      <c r="AW62" s="124">
        <f>AW60/AW61</f>
        <v>0.77372603990308952</v>
      </c>
    </row>
    <row r="63" spans="8:59" x14ac:dyDescent="0.25">
      <c r="Q63" s="133"/>
      <c r="W63" s="16"/>
      <c r="AR63" s="20"/>
      <c r="AS63" s="125"/>
      <c r="AT63" s="125"/>
      <c r="AU63" s="125"/>
      <c r="AV63" s="126" t="s">
        <v>54</v>
      </c>
      <c r="AW63" s="127">
        <v>0.9</v>
      </c>
    </row>
    <row r="64" spans="8:59" x14ac:dyDescent="0.25">
      <c r="Q64" s="133"/>
      <c r="W64" s="16"/>
      <c r="AR64" s="20"/>
      <c r="AS64" s="125"/>
      <c r="AT64" s="125"/>
      <c r="AU64" s="125"/>
      <c r="AV64" s="126" t="s">
        <v>55</v>
      </c>
      <c r="AW64" s="128">
        <v>100030852.73402874</v>
      </c>
    </row>
    <row r="65" spans="17:52" x14ac:dyDescent="0.25">
      <c r="Q65" s="133"/>
      <c r="W65" s="16"/>
      <c r="AR65" s="20"/>
      <c r="AS65" s="125"/>
      <c r="AT65" s="125"/>
      <c r="AU65" s="125"/>
      <c r="AV65" s="126" t="s">
        <v>89</v>
      </c>
      <c r="AW65" s="129">
        <f>AW64/AW61</f>
        <v>9.6745594442536498E-2</v>
      </c>
    </row>
    <row r="66" spans="17:52" x14ac:dyDescent="0.25">
      <c r="Q66" s="133"/>
      <c r="W66" s="16"/>
      <c r="AR66" s="20"/>
      <c r="AS66" s="142"/>
      <c r="AT66" s="142"/>
      <c r="AU66" s="142"/>
      <c r="AV66" s="143" t="s">
        <v>99</v>
      </c>
      <c r="AW66" s="144">
        <v>1.1299999999999999</v>
      </c>
    </row>
    <row r="67" spans="17:52" x14ac:dyDescent="0.25">
      <c r="Q67" s="133"/>
      <c r="W67" s="16"/>
      <c r="AR67" s="20"/>
      <c r="AV67" s="13"/>
      <c r="AW67" s="199"/>
    </row>
    <row r="68" spans="17:52" x14ac:dyDescent="0.25">
      <c r="Q68" s="133"/>
      <c r="W68" s="16"/>
      <c r="AR68" s="2"/>
      <c r="AS68" s="120" t="s">
        <v>98</v>
      </c>
      <c r="AT68" s="121"/>
      <c r="AU68" s="121"/>
      <c r="AV68" s="121" t="s">
        <v>58</v>
      </c>
      <c r="AW68" s="122">
        <v>800000000</v>
      </c>
    </row>
    <row r="69" spans="17:52" x14ac:dyDescent="0.25">
      <c r="Q69" s="133"/>
      <c r="W69" s="16"/>
      <c r="AR69" s="2"/>
      <c r="AS69" s="134"/>
      <c r="AT69" s="121"/>
      <c r="AU69" s="121"/>
      <c r="AV69" s="121" t="s">
        <v>65</v>
      </c>
      <c r="AW69" s="123">
        <v>1034000752</v>
      </c>
      <c r="AZ69" s="18"/>
    </row>
    <row r="70" spans="17:52" x14ac:dyDescent="0.25">
      <c r="Q70" s="133"/>
      <c r="W70" s="16"/>
      <c r="AR70" s="2"/>
      <c r="AS70" s="125"/>
      <c r="AT70" s="125"/>
      <c r="AU70" s="125"/>
      <c r="AV70" s="126" t="s">
        <v>53</v>
      </c>
      <c r="AW70" s="127">
        <f>AW68/AW69</f>
        <v>0.77369382802924691</v>
      </c>
      <c r="AX70" s="16"/>
    </row>
    <row r="71" spans="17:52" x14ac:dyDescent="0.25">
      <c r="Q71" s="133"/>
      <c r="W71" s="16"/>
      <c r="AR71" s="2"/>
      <c r="AS71" s="125"/>
      <c r="AT71" s="125"/>
      <c r="AU71" s="125"/>
      <c r="AV71" s="126" t="s">
        <v>100</v>
      </c>
      <c r="AW71" s="128">
        <v>97743260.448810726</v>
      </c>
      <c r="AX71" s="16"/>
    </row>
    <row r="72" spans="17:52" x14ac:dyDescent="0.25">
      <c r="Q72" s="133"/>
      <c r="W72" s="16"/>
      <c r="AR72" s="2"/>
      <c r="AS72" s="125"/>
      <c r="AT72" s="125"/>
      <c r="AU72" s="125"/>
      <c r="AV72" s="126" t="s">
        <v>103</v>
      </c>
      <c r="AW72" s="129">
        <f>AW71/AW69</f>
        <v>9.4529196675875074E-2</v>
      </c>
      <c r="AX72" s="16"/>
      <c r="AY72" s="16"/>
    </row>
    <row r="73" spans="17:52" x14ac:dyDescent="0.25">
      <c r="AR73" s="2"/>
      <c r="AS73" s="142"/>
      <c r="AT73" s="142"/>
      <c r="AU73" s="142"/>
      <c r="AV73" s="143" t="s">
        <v>105</v>
      </c>
      <c r="AW73" s="144">
        <v>1.25</v>
      </c>
      <c r="AX73" s="16"/>
      <c r="AY73" s="16"/>
    </row>
    <row r="74" spans="17:52" x14ac:dyDescent="0.25">
      <c r="AR74" s="2"/>
      <c r="AS74" s="142"/>
      <c r="AT74" s="142"/>
      <c r="AU74" s="142"/>
      <c r="AV74" s="143" t="s">
        <v>106</v>
      </c>
      <c r="AW74" s="144">
        <v>1.29</v>
      </c>
      <c r="AX74" s="16"/>
      <c r="AY74" s="16"/>
    </row>
    <row r="75" spans="17:52" x14ac:dyDescent="0.25">
      <c r="AR75" s="2"/>
      <c r="AX75" s="16"/>
      <c r="AY75" s="16"/>
    </row>
    <row r="76" spans="17:52" x14ac:dyDescent="0.25">
      <c r="AR76" s="2"/>
      <c r="AS76" s="130" t="s">
        <v>101</v>
      </c>
      <c r="AT76" s="125"/>
      <c r="AU76" s="125"/>
      <c r="AV76" s="126" t="s">
        <v>95</v>
      </c>
      <c r="AW76" s="128">
        <v>800000000</v>
      </c>
      <c r="AX76" s="16"/>
      <c r="AY76" s="16"/>
    </row>
    <row r="77" spans="17:52" x14ac:dyDescent="0.25">
      <c r="AR77" s="2"/>
      <c r="AS77" s="130"/>
      <c r="AT77" s="125"/>
      <c r="AU77" s="125"/>
      <c r="AV77" s="126" t="s">
        <v>96</v>
      </c>
      <c r="AW77" s="161">
        <v>1042443673</v>
      </c>
      <c r="AX77" s="198"/>
    </row>
    <row r="78" spans="17:52" x14ac:dyDescent="0.25">
      <c r="AR78" s="2"/>
      <c r="AS78" s="125"/>
      <c r="AT78" s="125"/>
      <c r="AU78" s="125"/>
      <c r="AV78" s="126" t="s">
        <v>53</v>
      </c>
      <c r="AW78" s="127">
        <f>AW76/AW77</f>
        <v>0.76742755577163924</v>
      </c>
      <c r="AX78" s="16"/>
    </row>
    <row r="79" spans="17:52" x14ac:dyDescent="0.25">
      <c r="AR79" s="2"/>
      <c r="AS79" s="125"/>
      <c r="AT79" s="125"/>
      <c r="AU79" s="125"/>
      <c r="AV79" s="126" t="s">
        <v>102</v>
      </c>
      <c r="AW79" s="127">
        <v>97723522.767384306</v>
      </c>
      <c r="AX79" s="16"/>
    </row>
    <row r="80" spans="17:52" ht="15" customHeight="1" x14ac:dyDescent="0.25">
      <c r="AR80" s="2"/>
      <c r="AS80" s="125"/>
      <c r="AT80" s="125"/>
      <c r="AU80" s="125"/>
      <c r="AV80" s="126" t="s">
        <v>111</v>
      </c>
      <c r="AW80" s="129">
        <f>AW79/AW77</f>
        <v>9.3744655273459848E-2</v>
      </c>
      <c r="AX80" s="16"/>
    </row>
    <row r="81" spans="44:54" x14ac:dyDescent="0.25">
      <c r="AR81" s="2"/>
      <c r="AS81" s="142"/>
      <c r="AT81" s="142"/>
      <c r="AU81" s="142"/>
      <c r="AV81" s="143" t="s">
        <v>104</v>
      </c>
      <c r="AW81" s="144">
        <v>1.29</v>
      </c>
      <c r="AX81" s="16"/>
    </row>
    <row r="82" spans="44:54" x14ac:dyDescent="0.25">
      <c r="AR82" s="2"/>
      <c r="AV82" s="13"/>
      <c r="AW82" s="133"/>
    </row>
    <row r="83" spans="44:54" x14ac:dyDescent="0.25">
      <c r="AR83" s="2"/>
      <c r="AS83" s="130" t="s">
        <v>56</v>
      </c>
      <c r="AT83" s="125"/>
      <c r="AU83" s="125"/>
      <c r="AV83" s="126" t="s">
        <v>114</v>
      </c>
      <c r="AW83" s="128">
        <v>180000000</v>
      </c>
      <c r="BB83" s="13"/>
    </row>
    <row r="84" spans="44:54" x14ac:dyDescent="0.25">
      <c r="AR84" s="2"/>
      <c r="AS84" s="130"/>
      <c r="AT84" s="125"/>
      <c r="AU84" s="125"/>
      <c r="AV84" s="126" t="s">
        <v>66</v>
      </c>
      <c r="AW84" s="161">
        <v>1039757766.4554055</v>
      </c>
      <c r="BA84" s="133"/>
      <c r="BB84" s="132"/>
    </row>
    <row r="85" spans="44:54" x14ac:dyDescent="0.25">
      <c r="AR85" s="2"/>
      <c r="AS85" s="125"/>
      <c r="AT85" s="125"/>
      <c r="AU85" s="125"/>
      <c r="AV85" s="126" t="s">
        <v>57</v>
      </c>
      <c r="AW85" s="131">
        <f>AW83/(AW84)</f>
        <v>0.17311724500373818</v>
      </c>
      <c r="BA85" s="133"/>
      <c r="BB85" s="132"/>
    </row>
    <row r="86" spans="44:54" x14ac:dyDescent="0.25">
      <c r="AR86" s="2"/>
      <c r="AV86" s="13"/>
      <c r="AW86" s="133"/>
      <c r="BA86" s="133"/>
      <c r="BB86" s="132"/>
    </row>
    <row r="87" spans="44:54" x14ac:dyDescent="0.25">
      <c r="AR87" s="2"/>
      <c r="AV87" s="13"/>
      <c r="AW87" s="133"/>
      <c r="BA87" s="133"/>
      <c r="BB87" s="132"/>
    </row>
    <row r="88" spans="44:54" x14ac:dyDescent="0.25">
      <c r="AS88" s="135" t="s">
        <v>59</v>
      </c>
      <c r="AT88" s="22"/>
      <c r="AU88" s="22"/>
      <c r="AV88" s="22"/>
      <c r="AW88" s="22"/>
    </row>
    <row r="89" spans="44:54" x14ac:dyDescent="0.25">
      <c r="AS89" s="22"/>
      <c r="AT89" s="22"/>
      <c r="AU89" s="22"/>
      <c r="AV89" s="192" t="s">
        <v>0</v>
      </c>
      <c r="AW89" s="192" t="s">
        <v>1</v>
      </c>
    </row>
    <row r="90" spans="44:54" x14ac:dyDescent="0.25">
      <c r="AS90" s="22"/>
      <c r="AT90" s="136" t="s">
        <v>2</v>
      </c>
      <c r="AU90" s="136" t="s">
        <v>3</v>
      </c>
      <c r="AV90" s="192"/>
      <c r="AW90" s="192"/>
    </row>
    <row r="91" spans="44:54" x14ac:dyDescent="0.25">
      <c r="AS91" s="137"/>
      <c r="AT91" s="137">
        <v>2500</v>
      </c>
      <c r="AU91" s="137">
        <v>2829</v>
      </c>
      <c r="AV91" s="138">
        <v>23278</v>
      </c>
      <c r="AW91" s="138">
        <f>AV91/12</f>
        <v>1939.8333333333333</v>
      </c>
      <c r="BB91" s="18"/>
    </row>
    <row r="92" spans="44:54" x14ac:dyDescent="0.25">
      <c r="AS92" s="137"/>
      <c r="AT92" s="137">
        <v>2830</v>
      </c>
      <c r="AU92" s="137">
        <v>3149</v>
      </c>
      <c r="AV92" s="138">
        <v>24190</v>
      </c>
      <c r="AW92" s="138">
        <f>AV92/12</f>
        <v>2015.8333333333333</v>
      </c>
      <c r="BB92" s="18"/>
    </row>
    <row r="93" spans="44:54" x14ac:dyDescent="0.25">
      <c r="AS93" s="137"/>
      <c r="AT93" s="137">
        <v>3150</v>
      </c>
      <c r="AU93" s="137" t="s">
        <v>4</v>
      </c>
      <c r="AV93" s="138">
        <v>25100</v>
      </c>
      <c r="AW93" s="138">
        <f>AV93/12</f>
        <v>2091.6666666666665</v>
      </c>
      <c r="BB93" s="18"/>
    </row>
    <row r="94" spans="44:54" ht="15.75" thickBot="1" x14ac:dyDescent="0.3">
      <c r="AV94" s="17"/>
      <c r="AW94" s="17"/>
    </row>
    <row r="95" spans="44:54" x14ac:dyDescent="0.25">
      <c r="AS95" s="139" t="s">
        <v>60</v>
      </c>
      <c r="AT95" s="140"/>
      <c r="AU95" s="140"/>
      <c r="AV95" s="140"/>
      <c r="AW95" s="140"/>
    </row>
    <row r="96" spans="44:54" x14ac:dyDescent="0.25">
      <c r="AR96" s="2"/>
      <c r="AS96" s="22"/>
      <c r="AT96" s="22"/>
      <c r="AU96" s="22"/>
      <c r="AV96" s="192" t="s">
        <v>0</v>
      </c>
      <c r="AW96" s="192" t="s">
        <v>1</v>
      </c>
    </row>
    <row r="97" spans="2:51" x14ac:dyDescent="0.25">
      <c r="AR97" s="2"/>
      <c r="AS97" s="22"/>
      <c r="AT97" s="136" t="s">
        <v>2</v>
      </c>
      <c r="AU97" s="136" t="s">
        <v>3</v>
      </c>
      <c r="AV97" s="192"/>
      <c r="AW97" s="192"/>
    </row>
    <row r="98" spans="2:51" x14ac:dyDescent="0.25">
      <c r="AR98" s="19"/>
      <c r="AS98" s="137"/>
      <c r="AT98" s="137">
        <v>2500</v>
      </c>
      <c r="AU98" s="137">
        <v>2828.9999999999995</v>
      </c>
      <c r="AV98" s="138">
        <v>18622.399999999998</v>
      </c>
      <c r="AW98" s="138">
        <v>1551.8666666666666</v>
      </c>
    </row>
    <row r="99" spans="2:51" x14ac:dyDescent="0.25">
      <c r="AR99" s="19"/>
      <c r="AS99" s="137"/>
      <c r="AT99" s="137">
        <v>2829.9999999999995</v>
      </c>
      <c r="AU99" s="137">
        <v>3149</v>
      </c>
      <c r="AV99" s="138">
        <v>19352</v>
      </c>
      <c r="AW99" s="138">
        <v>1612.6666666666667</v>
      </c>
    </row>
    <row r="100" spans="2:51" x14ac:dyDescent="0.25">
      <c r="AR100" s="19"/>
      <c r="AS100" s="137"/>
      <c r="AT100" s="137">
        <v>3150</v>
      </c>
      <c r="AU100" s="137" t="s">
        <v>4</v>
      </c>
      <c r="AV100" s="138">
        <v>20080</v>
      </c>
      <c r="AW100" s="138">
        <v>1673.3333333333333</v>
      </c>
    </row>
    <row r="101" spans="2:51" ht="15.75" thickBot="1" x14ac:dyDescent="0.3">
      <c r="AR101" s="19"/>
      <c r="AV101" s="141"/>
      <c r="AW101" s="141"/>
    </row>
    <row r="102" spans="2:51" x14ac:dyDescent="0.25">
      <c r="AR102" s="19"/>
      <c r="AS102" s="139" t="s">
        <v>61</v>
      </c>
      <c r="AT102" s="140"/>
      <c r="AU102" s="145"/>
      <c r="AV102" s="140"/>
      <c r="AW102" s="140"/>
    </row>
    <row r="103" spans="2:51" x14ac:dyDescent="0.25">
      <c r="AR103" s="19"/>
      <c r="AS103" s="22"/>
      <c r="AT103" s="22"/>
      <c r="AU103" s="136"/>
      <c r="AV103" s="192" t="s">
        <v>0</v>
      </c>
      <c r="AW103" s="192" t="s">
        <v>1</v>
      </c>
      <c r="AY103" s="4"/>
    </row>
    <row r="104" spans="2:51" x14ac:dyDescent="0.25">
      <c r="AE104" s="4"/>
      <c r="AF104" s="4"/>
      <c r="AG104" s="4"/>
      <c r="AH104" s="4"/>
      <c r="AI104" s="4"/>
      <c r="AJ104" s="4"/>
      <c r="AK104" s="4"/>
      <c r="AL104" s="4"/>
      <c r="AM104" s="4"/>
      <c r="AN104" s="4"/>
      <c r="AO104" s="4"/>
      <c r="AP104" s="4"/>
      <c r="AR104" s="19"/>
      <c r="AS104" s="136"/>
      <c r="AT104" s="136" t="s">
        <v>2</v>
      </c>
      <c r="AU104" s="136" t="s">
        <v>3</v>
      </c>
      <c r="AV104" s="192"/>
      <c r="AW104" s="192"/>
      <c r="AY104" s="4"/>
    </row>
    <row r="105" spans="2:51" s="4" customFormat="1" ht="18" customHeight="1" x14ac:dyDescent="0.25">
      <c r="B105" s="32"/>
      <c r="C105" s="32"/>
      <c r="D105" s="32"/>
      <c r="E105" s="32"/>
      <c r="F105" s="32"/>
      <c r="G105" s="32"/>
      <c r="AQ105" s="6"/>
      <c r="AR105" s="19"/>
      <c r="AS105" s="137"/>
      <c r="AT105" s="137">
        <v>2500</v>
      </c>
      <c r="AU105" s="146">
        <v>2828.9999999999995</v>
      </c>
      <c r="AV105" s="138">
        <v>13966.8</v>
      </c>
      <c r="AW105" s="138">
        <v>1163.8999999999999</v>
      </c>
      <c r="AX105" s="6"/>
      <c r="AY105" s="6"/>
    </row>
    <row r="106" spans="2:51" s="4" customFormat="1" ht="18" customHeight="1" x14ac:dyDescent="0.25">
      <c r="B106" s="32"/>
      <c r="C106" s="32"/>
      <c r="D106" s="32"/>
      <c r="E106" s="32"/>
      <c r="F106" s="32"/>
      <c r="G106" s="32"/>
      <c r="AE106" s="6"/>
      <c r="AF106" s="6"/>
      <c r="AG106" s="6"/>
      <c r="AH106" s="6"/>
      <c r="AI106" s="6"/>
      <c r="AJ106" s="6"/>
      <c r="AK106" s="6"/>
      <c r="AL106" s="6"/>
      <c r="AM106" s="6"/>
      <c r="AN106" s="6"/>
      <c r="AO106" s="6"/>
      <c r="AP106" s="6"/>
      <c r="AQ106" s="6"/>
      <c r="AR106" s="19"/>
      <c r="AS106" s="147"/>
      <c r="AT106" s="147">
        <v>2829.9999999999995</v>
      </c>
      <c r="AU106" s="148">
        <v>3149</v>
      </c>
      <c r="AV106" s="138">
        <v>14514</v>
      </c>
      <c r="AW106" s="138">
        <v>1209.5</v>
      </c>
      <c r="AX106" s="6"/>
      <c r="AY106" s="6"/>
    </row>
    <row r="107" spans="2:51" x14ac:dyDescent="0.25">
      <c r="AR107" s="19"/>
      <c r="AS107" s="137"/>
      <c r="AT107" s="137">
        <v>3150</v>
      </c>
      <c r="AU107" s="148" t="s">
        <v>4</v>
      </c>
      <c r="AV107" s="138">
        <v>15060</v>
      </c>
      <c r="AW107" s="138">
        <v>1255</v>
      </c>
    </row>
    <row r="108" spans="2:51" ht="15.75" thickBot="1" x14ac:dyDescent="0.3">
      <c r="AQ108" s="4"/>
    </row>
    <row r="109" spans="2:51" x14ac:dyDescent="0.25">
      <c r="AQ109" s="4"/>
      <c r="AS109" s="139" t="s">
        <v>107</v>
      </c>
      <c r="AT109" s="140"/>
      <c r="AU109" s="145"/>
      <c r="AV109" s="140"/>
      <c r="AW109" s="140"/>
    </row>
    <row r="110" spans="2:51" x14ac:dyDescent="0.25">
      <c r="AS110" s="22"/>
      <c r="AT110" s="22"/>
      <c r="AU110" s="136"/>
      <c r="AV110" s="192" t="s">
        <v>0</v>
      </c>
      <c r="AW110" s="192" t="s">
        <v>1</v>
      </c>
    </row>
    <row r="111" spans="2:51" x14ac:dyDescent="0.25">
      <c r="AS111" s="136"/>
      <c r="AT111" s="136" t="s">
        <v>2</v>
      </c>
      <c r="AU111" s="136" t="s">
        <v>3</v>
      </c>
      <c r="AV111" s="192"/>
      <c r="AW111" s="192"/>
    </row>
    <row r="112" spans="2:51" x14ac:dyDescent="0.25">
      <c r="AR112" s="19"/>
      <c r="AS112" s="137"/>
      <c r="AT112" s="137">
        <v>2500</v>
      </c>
      <c r="AU112" s="146">
        <v>2828.9999999999995</v>
      </c>
      <c r="AV112" s="138">
        <v>13966.8</v>
      </c>
      <c r="AW112" s="138">
        <v>1163.8999999999999</v>
      </c>
    </row>
    <row r="113" spans="44:50" x14ac:dyDescent="0.25">
      <c r="AR113" s="19"/>
      <c r="AS113" s="147"/>
      <c r="AT113" s="147">
        <v>2829.9999999999995</v>
      </c>
      <c r="AU113" s="148">
        <v>3149</v>
      </c>
      <c r="AV113" s="138">
        <v>14514</v>
      </c>
      <c r="AW113" s="138">
        <v>1209.5</v>
      </c>
    </row>
    <row r="114" spans="44:50" x14ac:dyDescent="0.25">
      <c r="AR114" s="19"/>
      <c r="AS114" s="137"/>
      <c r="AT114" s="137">
        <v>3150</v>
      </c>
      <c r="AU114" s="148" t="s">
        <v>4</v>
      </c>
      <c r="AV114" s="138">
        <v>15060</v>
      </c>
      <c r="AW114" s="138">
        <v>1255</v>
      </c>
    </row>
    <row r="115" spans="44:50" x14ac:dyDescent="0.25">
      <c r="AR115" s="19"/>
    </row>
    <row r="116" spans="44:50" x14ac:dyDescent="0.25">
      <c r="AR116" s="19"/>
      <c r="AS116" s="162" t="s">
        <v>108</v>
      </c>
      <c r="AT116" s="158"/>
      <c r="AU116" s="158"/>
      <c r="AV116" s="159" t="s">
        <v>64</v>
      </c>
      <c r="AW116" s="160">
        <v>4640</v>
      </c>
      <c r="AX116" s="4" t="s">
        <v>68</v>
      </c>
    </row>
    <row r="117" spans="44:50" x14ac:dyDescent="0.25">
      <c r="AR117" s="19"/>
      <c r="AS117" s="158"/>
      <c r="AT117" s="158"/>
      <c r="AU117" s="158"/>
      <c r="AV117" s="159" t="s">
        <v>63</v>
      </c>
      <c r="AW117" s="160">
        <v>1760</v>
      </c>
      <c r="AX117" s="4" t="s">
        <v>68</v>
      </c>
    </row>
    <row r="119" spans="44:50" x14ac:dyDescent="0.25">
      <c r="AS119" s="162" t="s">
        <v>109</v>
      </c>
      <c r="AT119" s="158"/>
      <c r="AU119" s="158"/>
      <c r="AV119" s="159" t="s">
        <v>64</v>
      </c>
      <c r="AW119" s="160">
        <v>3200</v>
      </c>
      <c r="AX119" s="4" t="s">
        <v>110</v>
      </c>
    </row>
    <row r="120" spans="44:50" x14ac:dyDescent="0.25">
      <c r="AS120" s="4"/>
      <c r="AT120" s="4"/>
      <c r="AU120" s="4"/>
      <c r="AV120" s="32"/>
      <c r="AW120" s="200"/>
      <c r="AX120" s="4"/>
    </row>
  </sheetData>
  <sheetProtection sheet="1" objects="1" scenarios="1"/>
  <mergeCells count="25">
    <mergeCell ref="T4:AK4"/>
    <mergeCell ref="AF11:AK11"/>
    <mergeCell ref="AL11:AQ11"/>
    <mergeCell ref="AV110:AV111"/>
    <mergeCell ref="AW110:AW111"/>
    <mergeCell ref="BH38:BH39"/>
    <mergeCell ref="BI38:BL39"/>
    <mergeCell ref="AV103:AV104"/>
    <mergeCell ref="AW103:AW104"/>
    <mergeCell ref="AV50:AV51"/>
    <mergeCell ref="AW50:AW51"/>
    <mergeCell ref="AV89:AV90"/>
    <mergeCell ref="AW89:AW90"/>
    <mergeCell ref="AV96:AV97"/>
    <mergeCell ref="AW96:AW97"/>
    <mergeCell ref="AV42:AV43"/>
    <mergeCell ref="AW42:AW43"/>
    <mergeCell ref="AV26:AV27"/>
    <mergeCell ref="AW26:AW27"/>
    <mergeCell ref="AV34:AV35"/>
    <mergeCell ref="AW34:AW35"/>
    <mergeCell ref="H11:M11"/>
    <mergeCell ref="N11:S11"/>
    <mergeCell ref="T11:Y11"/>
    <mergeCell ref="Z11:AE11"/>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BA9E5"/>
  </sheetPr>
  <dimension ref="B1:W41"/>
  <sheetViews>
    <sheetView workbookViewId="0">
      <selection activeCell="B1" sqref="B1"/>
    </sheetView>
  </sheetViews>
  <sheetFormatPr defaultRowHeight="15" x14ac:dyDescent="0.25"/>
  <cols>
    <col min="1" max="1" width="15.5703125" style="6" customWidth="1"/>
    <col min="2" max="2" width="11" style="6" bestFit="1" customWidth="1"/>
    <col min="3" max="3" width="13.42578125" style="6" customWidth="1"/>
    <col min="4" max="4" width="15" style="6" customWidth="1"/>
    <col min="5" max="5" width="13.7109375" style="6" customWidth="1"/>
    <col min="6" max="6" width="14.7109375" style="6" customWidth="1"/>
    <col min="7" max="7" width="14.140625" style="6" customWidth="1"/>
    <col min="8" max="8" width="9.140625" style="6"/>
    <col min="9" max="9" width="4.140625" style="6" customWidth="1"/>
    <col min="10" max="10" width="8" style="6" customWidth="1"/>
    <col min="11" max="11" width="9.140625" style="6"/>
    <col min="12" max="12" width="14.42578125" style="6" customWidth="1"/>
    <col min="13" max="13" width="17" style="6" customWidth="1"/>
    <col min="14" max="14" width="16.85546875" style="6" customWidth="1"/>
    <col min="15" max="15" width="15.42578125" style="6" customWidth="1"/>
    <col min="16" max="16" width="14.42578125" style="6" customWidth="1"/>
    <col min="17" max="18" width="9.140625" style="6"/>
    <col min="19" max="19" width="14.42578125" style="6" customWidth="1"/>
    <col min="20" max="20" width="17" style="6" customWidth="1"/>
    <col min="21" max="21" width="16.85546875" style="6" customWidth="1"/>
    <col min="22" max="22" width="15.42578125" style="6" customWidth="1"/>
    <col min="23" max="23" width="14.42578125" style="6" customWidth="1"/>
    <col min="24" max="16384" width="9.140625" style="6"/>
  </cols>
  <sheetData>
    <row r="1" spans="2:22" ht="36" customHeight="1" x14ac:dyDescent="0.35">
      <c r="B1" s="167" t="s">
        <v>79</v>
      </c>
      <c r="K1" s="167" t="s">
        <v>90</v>
      </c>
      <c r="R1" s="167" t="s">
        <v>117</v>
      </c>
    </row>
    <row r="2" spans="2:22" ht="30" customHeight="1" thickBot="1" x14ac:dyDescent="0.3">
      <c r="B2" s="193" t="s">
        <v>88</v>
      </c>
      <c r="C2" s="193"/>
      <c r="D2" s="193"/>
      <c r="E2" s="193"/>
      <c r="F2" s="193"/>
      <c r="K2" s="193" t="s">
        <v>91</v>
      </c>
      <c r="L2" s="193"/>
      <c r="M2" s="193"/>
      <c r="N2" s="193"/>
      <c r="O2" s="193"/>
      <c r="R2" s="193" t="s">
        <v>115</v>
      </c>
      <c r="S2" s="193"/>
      <c r="T2" s="193"/>
      <c r="U2" s="193"/>
      <c r="V2" s="193"/>
    </row>
    <row r="3" spans="2:22" ht="52.5" thickBot="1" x14ac:dyDescent="0.3">
      <c r="B3" s="168" t="s">
        <v>80</v>
      </c>
      <c r="C3" s="168" t="s">
        <v>81</v>
      </c>
      <c r="D3" s="168" t="s">
        <v>82</v>
      </c>
      <c r="E3" s="169" t="s">
        <v>83</v>
      </c>
      <c r="F3" s="169" t="s">
        <v>84</v>
      </c>
      <c r="K3" s="168" t="s">
        <v>80</v>
      </c>
      <c r="L3" s="168" t="s">
        <v>81</v>
      </c>
      <c r="M3" s="168" t="s">
        <v>82</v>
      </c>
      <c r="N3" s="169" t="s">
        <v>83</v>
      </c>
      <c r="O3" s="169" t="s">
        <v>84</v>
      </c>
      <c r="R3" s="168" t="s">
        <v>80</v>
      </c>
      <c r="S3" s="168" t="s">
        <v>81</v>
      </c>
      <c r="T3" s="168" t="s">
        <v>82</v>
      </c>
      <c r="U3" s="169" t="s">
        <v>83</v>
      </c>
      <c r="V3" s="169" t="s">
        <v>84</v>
      </c>
    </row>
    <row r="4" spans="2:22" x14ac:dyDescent="0.25">
      <c r="B4" s="170">
        <v>1000</v>
      </c>
      <c r="C4" s="171">
        <f>F23</f>
        <v>1346.7455944425365</v>
      </c>
      <c r="D4" s="171">
        <f>Cashflow!$AW$70*B4</f>
        <v>773.6938280292469</v>
      </c>
      <c r="E4" s="172">
        <f>D4+C4</f>
        <v>2120.4394224717835</v>
      </c>
      <c r="F4" s="173">
        <f>E4/B4</f>
        <v>2.1204394224717835</v>
      </c>
      <c r="K4" s="170">
        <v>1000</v>
      </c>
      <c r="L4" s="171">
        <f>O23</f>
        <v>1346.7455944425365</v>
      </c>
      <c r="M4" s="171">
        <f>(Cashflow!$AW$70-Cashflow!$AW$85)*'Indicative Income Tables'!K4</f>
        <v>600.57658302550874</v>
      </c>
      <c r="N4" s="172">
        <f>M4+L4</f>
        <v>1947.3221774680451</v>
      </c>
      <c r="O4" s="173">
        <f>N4/K4</f>
        <v>1.9473221774680451</v>
      </c>
      <c r="R4" s="170">
        <v>1000</v>
      </c>
      <c r="S4" s="171">
        <f>V23</f>
        <v>1383.7446552734598</v>
      </c>
      <c r="T4" s="171">
        <f>(Cashflow!$AW$78-Cashflow!$AW$85)*'Indicative Income Tables'!R4</f>
        <v>594.31031076790111</v>
      </c>
      <c r="U4" s="172">
        <f>T4+S4</f>
        <v>1978.0549660413608</v>
      </c>
      <c r="V4" s="173">
        <f>U4/R4</f>
        <v>1.9780549660413609</v>
      </c>
    </row>
    <row r="5" spans="2:22" x14ac:dyDescent="0.25">
      <c r="B5" s="170">
        <v>2000</v>
      </c>
      <c r="C5" s="171">
        <f t="shared" ref="C5:C18" si="0">F24</f>
        <v>2693.4911888850729</v>
      </c>
      <c r="D5" s="171">
        <f>Cashflow!$AW$70*B5</f>
        <v>1547.3876560584938</v>
      </c>
      <c r="E5" s="172">
        <f t="shared" ref="E5:E18" si="1">D5+C5</f>
        <v>4240.8788449435669</v>
      </c>
      <c r="F5" s="173">
        <f t="shared" ref="F5:F18" si="2">E5/B5</f>
        <v>2.1204394224717835</v>
      </c>
      <c r="K5" s="170">
        <v>2000</v>
      </c>
      <c r="L5" s="171">
        <f t="shared" ref="L5:L18" si="3">O24</f>
        <v>2693.4911888850729</v>
      </c>
      <c r="M5" s="171">
        <f>(Cashflow!$AW$70-Cashflow!$AW$85)*'Indicative Income Tables'!K5</f>
        <v>1201.1531660510175</v>
      </c>
      <c r="N5" s="172">
        <f t="shared" ref="N5:N18" si="4">M5+L5</f>
        <v>3894.6443549360902</v>
      </c>
      <c r="O5" s="173">
        <f t="shared" ref="O5:O18" si="5">N5/K5</f>
        <v>1.9473221774680451</v>
      </c>
      <c r="R5" s="170">
        <v>2000</v>
      </c>
      <c r="S5" s="171">
        <f t="shared" ref="S5:S18" si="6">V24</f>
        <v>2767.4893105469196</v>
      </c>
      <c r="T5" s="171">
        <f>(Cashflow!$AW$78-Cashflow!$AW$85)*'Indicative Income Tables'!R5</f>
        <v>1188.6206215358022</v>
      </c>
      <c r="U5" s="172">
        <f t="shared" ref="U5:U18" si="7">T5+S5</f>
        <v>3956.1099320827216</v>
      </c>
      <c r="V5" s="173">
        <f t="shared" ref="V5:V18" si="8">U5/R5</f>
        <v>1.9780549660413609</v>
      </c>
    </row>
    <row r="6" spans="2:22" x14ac:dyDescent="0.25">
      <c r="B6" s="170">
        <v>2500</v>
      </c>
      <c r="C6" s="171">
        <f t="shared" si="0"/>
        <v>4530.7639861063417</v>
      </c>
      <c r="D6" s="171">
        <f>Cashflow!$AW$70*B6</f>
        <v>1934.2345700731173</v>
      </c>
      <c r="E6" s="172">
        <f t="shared" si="1"/>
        <v>6464.9985561794592</v>
      </c>
      <c r="F6" s="173">
        <f t="shared" si="2"/>
        <v>2.5859994224717835</v>
      </c>
      <c r="K6" s="170">
        <v>2500</v>
      </c>
      <c r="L6" s="171">
        <f t="shared" si="3"/>
        <v>4530.7639861063417</v>
      </c>
      <c r="M6" s="171">
        <f>(Cashflow!$AW$70-Cashflow!$AW$85)*'Indicative Income Tables'!K6</f>
        <v>1501.4414575637718</v>
      </c>
      <c r="N6" s="172">
        <f t="shared" si="4"/>
        <v>6032.2054436701137</v>
      </c>
      <c r="O6" s="173">
        <f t="shared" si="5"/>
        <v>2.4128821774680453</v>
      </c>
      <c r="R6" s="170">
        <v>2500</v>
      </c>
      <c r="S6" s="171">
        <f t="shared" si="6"/>
        <v>4623.2616381836497</v>
      </c>
      <c r="T6" s="171">
        <f>(Cashflow!$AW$78-Cashflow!$AW$85)*'Indicative Income Tables'!R6</f>
        <v>1485.7757769197526</v>
      </c>
      <c r="U6" s="172">
        <f t="shared" si="7"/>
        <v>6109.0374151034021</v>
      </c>
      <c r="V6" s="173">
        <f t="shared" si="8"/>
        <v>2.4436149660413609</v>
      </c>
    </row>
    <row r="7" spans="2:22" x14ac:dyDescent="0.25">
      <c r="B7" s="170">
        <v>2830</v>
      </c>
      <c r="C7" s="171">
        <f t="shared" si="0"/>
        <v>5020.7900322723781</v>
      </c>
      <c r="D7" s="171">
        <f>Cashflow!$AW$70*B7</f>
        <v>2189.5535333227685</v>
      </c>
      <c r="E7" s="172">
        <f t="shared" si="1"/>
        <v>7210.3435655951471</v>
      </c>
      <c r="F7" s="173">
        <f t="shared" si="2"/>
        <v>2.5478245814823843</v>
      </c>
      <c r="K7" s="170">
        <v>2830</v>
      </c>
      <c r="L7" s="171">
        <f t="shared" si="3"/>
        <v>5020.7900322723781</v>
      </c>
      <c r="M7" s="171">
        <f>(Cashflow!$AW$70-Cashflow!$AW$85)*'Indicative Income Tables'!K7</f>
        <v>1699.6317299621899</v>
      </c>
      <c r="N7" s="172">
        <f t="shared" si="4"/>
        <v>6720.4217622345677</v>
      </c>
      <c r="O7" s="173">
        <f t="shared" si="5"/>
        <v>2.3747073364786457</v>
      </c>
      <c r="R7" s="170">
        <v>2830</v>
      </c>
      <c r="S7" s="171">
        <f t="shared" si="6"/>
        <v>5125.4973744238914</v>
      </c>
      <c r="T7" s="171">
        <f>(Cashflow!$AW$78-Cashflow!$AW$85)*'Indicative Income Tables'!R7</f>
        <v>1681.8981794731601</v>
      </c>
      <c r="U7" s="172">
        <f t="shared" si="7"/>
        <v>6807.3955538970513</v>
      </c>
      <c r="V7" s="173">
        <f t="shared" si="8"/>
        <v>2.4054401250519617</v>
      </c>
    </row>
    <row r="8" spans="2:22" x14ac:dyDescent="0.25">
      <c r="B8" s="170">
        <v>3150</v>
      </c>
      <c r="C8" s="171">
        <f t="shared" si="0"/>
        <v>5497.2486224939894</v>
      </c>
      <c r="D8" s="171">
        <f>Cashflow!$AW$70*B8</f>
        <v>2437.1355582921278</v>
      </c>
      <c r="E8" s="172">
        <f t="shared" si="1"/>
        <v>7934.3841807861172</v>
      </c>
      <c r="F8" s="173">
        <f t="shared" si="2"/>
        <v>2.5188521208844818</v>
      </c>
      <c r="K8" s="170">
        <v>3150</v>
      </c>
      <c r="L8" s="171">
        <f t="shared" si="3"/>
        <v>5497.2486224939894</v>
      </c>
      <c r="M8" s="171">
        <f>(Cashflow!$AW$70-Cashflow!$AW$85)*'Indicative Income Tables'!K8</f>
        <v>1891.8162365303526</v>
      </c>
      <c r="N8" s="172">
        <f t="shared" si="4"/>
        <v>7389.0648590243418</v>
      </c>
      <c r="O8" s="173">
        <f t="shared" si="5"/>
        <v>2.3457348758807433</v>
      </c>
      <c r="R8" s="170">
        <v>3150</v>
      </c>
      <c r="S8" s="171">
        <f t="shared" si="6"/>
        <v>5613.7956641113988</v>
      </c>
      <c r="T8" s="171">
        <f>(Cashflow!$AW$78-Cashflow!$AW$85)*'Indicative Income Tables'!R8</f>
        <v>1872.0774789188883</v>
      </c>
      <c r="U8" s="172">
        <f t="shared" si="7"/>
        <v>7485.8731430302869</v>
      </c>
      <c r="V8" s="173">
        <f t="shared" si="8"/>
        <v>2.3764676644540592</v>
      </c>
    </row>
    <row r="9" spans="2:22" x14ac:dyDescent="0.25">
      <c r="B9" s="170">
        <v>4000</v>
      </c>
      <c r="C9" s="171">
        <f t="shared" si="0"/>
        <v>6641.9823777701458</v>
      </c>
      <c r="D9" s="171">
        <f>Cashflow!$AW$70*B9</f>
        <v>3094.7753121169876</v>
      </c>
      <c r="E9" s="172">
        <f t="shared" si="1"/>
        <v>9736.7576898871339</v>
      </c>
      <c r="F9" s="173">
        <f t="shared" si="2"/>
        <v>2.4341894224717833</v>
      </c>
      <c r="K9" s="170">
        <v>4000</v>
      </c>
      <c r="L9" s="171">
        <f t="shared" si="3"/>
        <v>6641.9823777701458</v>
      </c>
      <c r="M9" s="171">
        <f>(Cashflow!$AW$70-Cashflow!$AW$85)*'Indicative Income Tables'!K9</f>
        <v>2402.306332102035</v>
      </c>
      <c r="N9" s="172">
        <f t="shared" si="4"/>
        <v>9044.2887098721803</v>
      </c>
      <c r="O9" s="173">
        <f t="shared" si="5"/>
        <v>2.2610721774680451</v>
      </c>
      <c r="R9" s="170">
        <v>4000</v>
      </c>
      <c r="S9" s="171">
        <f t="shared" si="6"/>
        <v>6789.9786210938391</v>
      </c>
      <c r="T9" s="171">
        <f>(Cashflow!$AW$78-Cashflow!$AW$85)*'Indicative Income Tables'!R9</f>
        <v>2377.2412430716045</v>
      </c>
      <c r="U9" s="172">
        <f t="shared" si="7"/>
        <v>9167.2198641654431</v>
      </c>
      <c r="V9" s="173">
        <f t="shared" si="8"/>
        <v>2.2918049660413606</v>
      </c>
    </row>
    <row r="10" spans="2:22" x14ac:dyDescent="0.25">
      <c r="B10" s="170">
        <v>5000</v>
      </c>
      <c r="C10" s="171">
        <f t="shared" si="0"/>
        <v>7988.7279722126823</v>
      </c>
      <c r="D10" s="171">
        <f>Cashflow!$AW$70*B10</f>
        <v>3868.4691401462346</v>
      </c>
      <c r="E10" s="172">
        <f t="shared" si="1"/>
        <v>11857.197112358917</v>
      </c>
      <c r="F10" s="173">
        <f t="shared" si="2"/>
        <v>2.3714394224717834</v>
      </c>
      <c r="K10" s="170">
        <v>5000</v>
      </c>
      <c r="L10" s="171">
        <f t="shared" si="3"/>
        <v>7988.7279722126823</v>
      </c>
      <c r="M10" s="171">
        <f>(Cashflow!$AW$70-Cashflow!$AW$85)*'Indicative Income Tables'!K10</f>
        <v>3002.8829151275436</v>
      </c>
      <c r="N10" s="172">
        <f t="shared" si="4"/>
        <v>10991.610887340226</v>
      </c>
      <c r="O10" s="173">
        <f t="shared" si="5"/>
        <v>2.1983221774680453</v>
      </c>
      <c r="R10" s="170">
        <v>5000</v>
      </c>
      <c r="S10" s="171">
        <f t="shared" si="6"/>
        <v>8173.7232763672991</v>
      </c>
      <c r="T10" s="171">
        <f>(Cashflow!$AW$78-Cashflow!$AW$85)*'Indicative Income Tables'!R10</f>
        <v>2971.5515538395052</v>
      </c>
      <c r="U10" s="172">
        <f t="shared" si="7"/>
        <v>11145.274830206805</v>
      </c>
      <c r="V10" s="173">
        <f t="shared" si="8"/>
        <v>2.2290549660413608</v>
      </c>
    </row>
    <row r="11" spans="2:22" x14ac:dyDescent="0.25">
      <c r="B11" s="170">
        <v>6000</v>
      </c>
      <c r="C11" s="171">
        <f t="shared" si="0"/>
        <v>9335.4735666552187</v>
      </c>
      <c r="D11" s="171">
        <f>Cashflow!$AW$70*B11</f>
        <v>4642.1629681754812</v>
      </c>
      <c r="E11" s="172">
        <f t="shared" si="1"/>
        <v>13977.636534830701</v>
      </c>
      <c r="F11" s="173">
        <f t="shared" si="2"/>
        <v>2.32960608913845</v>
      </c>
      <c r="K11" s="170">
        <v>6000</v>
      </c>
      <c r="L11" s="171">
        <f t="shared" si="3"/>
        <v>9335.4735666552187</v>
      </c>
      <c r="M11" s="171">
        <f>(Cashflow!$AW$70-Cashflow!$AW$85)*'Indicative Income Tables'!K11</f>
        <v>3603.4594981530527</v>
      </c>
      <c r="N11" s="172">
        <f t="shared" si="4"/>
        <v>12938.933064808272</v>
      </c>
      <c r="O11" s="173">
        <f t="shared" si="5"/>
        <v>2.1564888441347119</v>
      </c>
      <c r="R11" s="170">
        <v>6000</v>
      </c>
      <c r="S11" s="171">
        <f t="shared" si="6"/>
        <v>9557.4679316407601</v>
      </c>
      <c r="T11" s="171">
        <f>(Cashflow!$AW$78-Cashflow!$AW$85)*'Indicative Income Tables'!R11</f>
        <v>3565.8618646074065</v>
      </c>
      <c r="U11" s="172">
        <f t="shared" si="7"/>
        <v>13123.329796248167</v>
      </c>
      <c r="V11" s="173">
        <f t="shared" si="8"/>
        <v>2.1872216327080278</v>
      </c>
    </row>
    <row r="12" spans="2:22" x14ac:dyDescent="0.25">
      <c r="B12" s="170">
        <v>7000</v>
      </c>
      <c r="C12" s="171">
        <f t="shared" si="0"/>
        <v>10682.219161097755</v>
      </c>
      <c r="D12" s="171">
        <f>Cashflow!$AW$70*B12</f>
        <v>5415.8567962047282</v>
      </c>
      <c r="E12" s="172">
        <f t="shared" si="1"/>
        <v>16098.075957302484</v>
      </c>
      <c r="F12" s="173">
        <f t="shared" si="2"/>
        <v>2.2997251367574978</v>
      </c>
      <c r="K12" s="170">
        <v>7000</v>
      </c>
      <c r="L12" s="171">
        <f t="shared" si="3"/>
        <v>10682.219161097755</v>
      </c>
      <c r="M12" s="171">
        <f>(Cashflow!$AW$70-Cashflow!$AW$85)*'Indicative Income Tables'!K12</f>
        <v>4204.0360811785613</v>
      </c>
      <c r="N12" s="172">
        <f t="shared" si="4"/>
        <v>14886.255242276316</v>
      </c>
      <c r="O12" s="173">
        <f t="shared" si="5"/>
        <v>2.1266078917537596</v>
      </c>
      <c r="R12" s="170">
        <v>7000</v>
      </c>
      <c r="S12" s="171">
        <f t="shared" si="6"/>
        <v>10941.212586914218</v>
      </c>
      <c r="T12" s="171">
        <f>(Cashflow!$AW$78-Cashflow!$AW$85)*'Indicative Income Tables'!R12</f>
        <v>4160.1721753753072</v>
      </c>
      <c r="U12" s="172">
        <f t="shared" si="7"/>
        <v>15101.384762289526</v>
      </c>
      <c r="V12" s="173">
        <f t="shared" si="8"/>
        <v>2.1573406803270752</v>
      </c>
    </row>
    <row r="13" spans="2:22" x14ac:dyDescent="0.25">
      <c r="B13" s="170">
        <v>8000</v>
      </c>
      <c r="C13" s="171">
        <f t="shared" si="0"/>
        <v>12028.964755540292</v>
      </c>
      <c r="D13" s="171">
        <f>Cashflow!$AW$70*B13</f>
        <v>6189.5506242339752</v>
      </c>
      <c r="E13" s="172">
        <f t="shared" si="1"/>
        <v>18218.515379774268</v>
      </c>
      <c r="F13" s="173">
        <f t="shared" si="2"/>
        <v>2.2773144224717834</v>
      </c>
      <c r="K13" s="170">
        <v>8000</v>
      </c>
      <c r="L13" s="171">
        <f t="shared" si="3"/>
        <v>12028.964755540292</v>
      </c>
      <c r="M13" s="171">
        <f>(Cashflow!$AW$70-Cashflow!$AW$85)*'Indicative Income Tables'!K13</f>
        <v>4804.6126642040699</v>
      </c>
      <c r="N13" s="172">
        <f t="shared" si="4"/>
        <v>16833.577419744361</v>
      </c>
      <c r="O13" s="173">
        <f t="shared" si="5"/>
        <v>2.1041971774680452</v>
      </c>
      <c r="R13" s="170">
        <v>8000</v>
      </c>
      <c r="S13" s="171">
        <f t="shared" si="6"/>
        <v>12324.957242187678</v>
      </c>
      <c r="T13" s="171">
        <f>(Cashflow!$AW$78-Cashflow!$AW$85)*'Indicative Income Tables'!R13</f>
        <v>4754.4824861432089</v>
      </c>
      <c r="U13" s="172">
        <f t="shared" si="7"/>
        <v>17079.439728330886</v>
      </c>
      <c r="V13" s="173">
        <f t="shared" si="8"/>
        <v>2.1349299660413608</v>
      </c>
    </row>
    <row r="14" spans="2:22" x14ac:dyDescent="0.25">
      <c r="B14" s="170">
        <v>9000</v>
      </c>
      <c r="C14" s="171">
        <f t="shared" si="0"/>
        <v>13375.710349982828</v>
      </c>
      <c r="D14" s="171">
        <f>Cashflow!$AW$70*B14</f>
        <v>6963.2444522632222</v>
      </c>
      <c r="E14" s="172">
        <f t="shared" si="1"/>
        <v>20338.954802246051</v>
      </c>
      <c r="F14" s="173">
        <f t="shared" si="2"/>
        <v>2.259883866916228</v>
      </c>
      <c r="K14" s="170">
        <v>9000</v>
      </c>
      <c r="L14" s="171">
        <f t="shared" si="3"/>
        <v>13375.710349982828</v>
      </c>
      <c r="M14" s="171">
        <f>(Cashflow!$AW$70-Cashflow!$AW$85)*'Indicative Income Tables'!K14</f>
        <v>5405.1892472295785</v>
      </c>
      <c r="N14" s="172">
        <f t="shared" si="4"/>
        <v>18780.899597212407</v>
      </c>
      <c r="O14" s="173">
        <f t="shared" si="5"/>
        <v>2.0867666219124898</v>
      </c>
      <c r="R14" s="170">
        <v>9000</v>
      </c>
      <c r="S14" s="171">
        <f t="shared" si="6"/>
        <v>13708.701897461138</v>
      </c>
      <c r="T14" s="171">
        <f>(Cashflow!$AW$78-Cashflow!$AW$85)*'Indicative Income Tables'!R14</f>
        <v>5348.7927969111097</v>
      </c>
      <c r="U14" s="172">
        <f t="shared" si="7"/>
        <v>19057.494694372246</v>
      </c>
      <c r="V14" s="173">
        <f t="shared" si="8"/>
        <v>2.1174994104858049</v>
      </c>
    </row>
    <row r="15" spans="2:22" x14ac:dyDescent="0.25">
      <c r="B15" s="170">
        <v>10000</v>
      </c>
      <c r="C15" s="171">
        <f t="shared" si="0"/>
        <v>14722.455944425365</v>
      </c>
      <c r="D15" s="171">
        <f>Cashflow!$AW$70*B15</f>
        <v>7736.9382802924692</v>
      </c>
      <c r="E15" s="172">
        <f t="shared" si="1"/>
        <v>22459.394224717835</v>
      </c>
      <c r="F15" s="173">
        <f t="shared" si="2"/>
        <v>2.2459394224717837</v>
      </c>
      <c r="K15" s="170">
        <v>10000</v>
      </c>
      <c r="L15" s="171">
        <f t="shared" si="3"/>
        <v>14722.455944425365</v>
      </c>
      <c r="M15" s="171">
        <f>(Cashflow!$AW$70-Cashflow!$AW$85)*'Indicative Income Tables'!K15</f>
        <v>6005.7658302550872</v>
      </c>
      <c r="N15" s="172">
        <f t="shared" si="4"/>
        <v>20728.221774680453</v>
      </c>
      <c r="O15" s="173">
        <f t="shared" si="5"/>
        <v>2.0728221774680451</v>
      </c>
      <c r="R15" s="170">
        <v>10000</v>
      </c>
      <c r="S15" s="171">
        <f t="shared" si="6"/>
        <v>15092.446552734598</v>
      </c>
      <c r="T15" s="171">
        <f>(Cashflow!$AW$78-Cashflow!$AW$85)*'Indicative Income Tables'!R15</f>
        <v>5943.1031076790105</v>
      </c>
      <c r="U15" s="172">
        <f t="shared" si="7"/>
        <v>21035.54966041361</v>
      </c>
      <c r="V15" s="173">
        <f t="shared" si="8"/>
        <v>2.1035549660413611</v>
      </c>
    </row>
    <row r="16" spans="2:22" x14ac:dyDescent="0.25">
      <c r="B16" s="170">
        <v>11000</v>
      </c>
      <c r="C16" s="171">
        <f t="shared" si="0"/>
        <v>16069.201538867901</v>
      </c>
      <c r="D16" s="171">
        <f>Cashflow!$AW$70*B16</f>
        <v>8510.6321083217154</v>
      </c>
      <c r="E16" s="172">
        <f t="shared" si="1"/>
        <v>24579.833647189618</v>
      </c>
      <c r="F16" s="173">
        <f t="shared" si="2"/>
        <v>2.2345303315626928</v>
      </c>
      <c r="K16" s="170">
        <v>11000</v>
      </c>
      <c r="L16" s="171">
        <f t="shared" si="3"/>
        <v>16069.201538867901</v>
      </c>
      <c r="M16" s="171">
        <f>(Cashflow!$AW$70-Cashflow!$AW$85)*'Indicative Income Tables'!K16</f>
        <v>6606.3424132805967</v>
      </c>
      <c r="N16" s="172">
        <f t="shared" si="4"/>
        <v>22675.543952148499</v>
      </c>
      <c r="O16" s="173">
        <f t="shared" si="5"/>
        <v>2.0614130865589546</v>
      </c>
      <c r="R16" s="170">
        <v>11000</v>
      </c>
      <c r="S16" s="171">
        <f t="shared" si="6"/>
        <v>16476.191208008058</v>
      </c>
      <c r="T16" s="171">
        <f>(Cashflow!$AW$78-Cashflow!$AW$85)*'Indicative Income Tables'!R16</f>
        <v>6537.4134184469121</v>
      </c>
      <c r="U16" s="172">
        <f t="shared" si="7"/>
        <v>23013.60462645497</v>
      </c>
      <c r="V16" s="173">
        <f t="shared" si="8"/>
        <v>2.0921458751322701</v>
      </c>
    </row>
    <row r="17" spans="2:23" x14ac:dyDescent="0.25">
      <c r="B17" s="170">
        <v>13000</v>
      </c>
      <c r="C17" s="171">
        <f t="shared" si="0"/>
        <v>18762.692727752976</v>
      </c>
      <c r="D17" s="171">
        <f>Cashflow!$AW$70*B17</f>
        <v>10058.019764380209</v>
      </c>
      <c r="E17" s="172">
        <f t="shared" si="1"/>
        <v>28820.712492133185</v>
      </c>
      <c r="F17" s="173">
        <f t="shared" si="2"/>
        <v>2.216977884010245</v>
      </c>
      <c r="K17" s="170">
        <v>13000</v>
      </c>
      <c r="L17" s="171">
        <f t="shared" si="3"/>
        <v>18762.692727752976</v>
      </c>
      <c r="M17" s="171">
        <f>(Cashflow!$AW$70-Cashflow!$AW$85)*'Indicative Income Tables'!K17</f>
        <v>7807.495579331614</v>
      </c>
      <c r="N17" s="172">
        <f t="shared" si="4"/>
        <v>26570.188307084591</v>
      </c>
      <c r="O17" s="173">
        <f t="shared" si="5"/>
        <v>2.0438606390065068</v>
      </c>
      <c r="R17" s="170">
        <v>13000</v>
      </c>
      <c r="S17" s="171">
        <f t="shared" si="6"/>
        <v>19243.680518554978</v>
      </c>
      <c r="T17" s="171">
        <f>(Cashflow!$AW$78-Cashflow!$AW$85)*'Indicative Income Tables'!R17</f>
        <v>7726.0340399827137</v>
      </c>
      <c r="U17" s="172">
        <f t="shared" si="7"/>
        <v>26969.714558537693</v>
      </c>
      <c r="V17" s="173">
        <f t="shared" si="8"/>
        <v>2.0745934275798223</v>
      </c>
    </row>
    <row r="18" spans="2:23" ht="15.75" thickBot="1" x14ac:dyDescent="0.3">
      <c r="B18" s="170">
        <v>15000</v>
      </c>
      <c r="C18" s="171">
        <f t="shared" si="0"/>
        <v>21456.183916638049</v>
      </c>
      <c r="D18" s="171">
        <f>Cashflow!$AW$70*B18</f>
        <v>11605.407420438703</v>
      </c>
      <c r="E18" s="174">
        <f t="shared" si="1"/>
        <v>33061.591337076752</v>
      </c>
      <c r="F18" s="175">
        <f t="shared" si="2"/>
        <v>2.2041060891384503</v>
      </c>
      <c r="K18" s="170">
        <v>15000</v>
      </c>
      <c r="L18" s="171">
        <f t="shared" si="3"/>
        <v>21456.183916638049</v>
      </c>
      <c r="M18" s="171">
        <f>(Cashflow!$AW$70-Cashflow!$AW$85)*'Indicative Income Tables'!K18</f>
        <v>9008.6487453826321</v>
      </c>
      <c r="N18" s="174">
        <f t="shared" si="4"/>
        <v>30464.832662020679</v>
      </c>
      <c r="O18" s="175">
        <f t="shared" si="5"/>
        <v>2.0309888441347121</v>
      </c>
      <c r="R18" s="170">
        <v>15000</v>
      </c>
      <c r="S18" s="171">
        <f t="shared" si="6"/>
        <v>22011.169829101898</v>
      </c>
      <c r="T18" s="171">
        <f>(Cashflow!$AW$78-Cashflow!$AW$85)*'Indicative Income Tables'!R18</f>
        <v>8914.6546615185161</v>
      </c>
      <c r="U18" s="174">
        <f t="shared" si="7"/>
        <v>30925.824490620413</v>
      </c>
      <c r="V18" s="175">
        <f t="shared" si="8"/>
        <v>2.0617216327080277</v>
      </c>
    </row>
    <row r="20" spans="2:23" x14ac:dyDescent="0.25">
      <c r="I20" s="176"/>
    </row>
    <row r="21" spans="2:23" ht="27" customHeight="1" thickBot="1" x14ac:dyDescent="0.3">
      <c r="B21" s="193" t="s">
        <v>87</v>
      </c>
      <c r="C21" s="193"/>
      <c r="D21" s="193"/>
      <c r="E21" s="193"/>
      <c r="F21" s="193"/>
      <c r="G21" s="193"/>
      <c r="K21" s="193" t="s">
        <v>92</v>
      </c>
      <c r="L21" s="193"/>
      <c r="M21" s="193"/>
      <c r="N21" s="193"/>
      <c r="O21" s="193"/>
      <c r="P21" s="193"/>
      <c r="R21" s="193" t="s">
        <v>116</v>
      </c>
      <c r="S21" s="193"/>
      <c r="T21" s="193"/>
      <c r="U21" s="193"/>
      <c r="V21" s="193"/>
      <c r="W21" s="193"/>
    </row>
    <row r="22" spans="2:23" ht="43.5" customHeight="1" thickBot="1" x14ac:dyDescent="0.3">
      <c r="B22" s="168" t="s">
        <v>80</v>
      </c>
      <c r="C22" s="168" t="s">
        <v>7</v>
      </c>
      <c r="D22" s="168" t="s">
        <v>85</v>
      </c>
      <c r="E22" s="168" t="s">
        <v>86</v>
      </c>
      <c r="F22" s="169" t="s">
        <v>81</v>
      </c>
      <c r="G22" s="169" t="s">
        <v>84</v>
      </c>
      <c r="I22" s="177"/>
      <c r="K22" s="168" t="s">
        <v>80</v>
      </c>
      <c r="L22" s="168" t="s">
        <v>7</v>
      </c>
      <c r="M22" s="168" t="s">
        <v>85</v>
      </c>
      <c r="N22" s="168" t="s">
        <v>86</v>
      </c>
      <c r="O22" s="169" t="s">
        <v>81</v>
      </c>
      <c r="P22" s="169" t="s">
        <v>84</v>
      </c>
      <c r="R22" s="168" t="s">
        <v>80</v>
      </c>
      <c r="S22" s="168" t="s">
        <v>7</v>
      </c>
      <c r="T22" s="168" t="s">
        <v>85</v>
      </c>
      <c r="U22" s="168" t="s">
        <v>86</v>
      </c>
      <c r="V22" s="169" t="s">
        <v>81</v>
      </c>
      <c r="W22" s="169" t="s">
        <v>84</v>
      </c>
    </row>
    <row r="23" spans="2:23" x14ac:dyDescent="0.25">
      <c r="B23" s="170">
        <v>1000</v>
      </c>
      <c r="C23" s="171">
        <f>B23*Cashflow!$AW$73</f>
        <v>1250</v>
      </c>
      <c r="D23" s="171">
        <f>IF(B23&lt;Cashflow!$AT$105,0,IF(B23&lt;Cashflow!$AT$106,Cashflow!$AW$105,IF(B23&lt;Cashflow!$AT$107,Cashflow!$AW$106,Cashflow!$AW$107)))</f>
        <v>0</v>
      </c>
      <c r="E23" s="171">
        <f>B23*Cashflow!$AW$65</f>
        <v>96.7455944425365</v>
      </c>
      <c r="F23" s="172">
        <f>E23+D23+C23</f>
        <v>1346.7455944425365</v>
      </c>
      <c r="G23" s="178">
        <f>F23/B23</f>
        <v>1.3467455944425364</v>
      </c>
      <c r="I23" s="179"/>
      <c r="K23" s="170">
        <v>1000</v>
      </c>
      <c r="L23" s="171">
        <f>K23*Cashflow!$AW$73</f>
        <v>1250</v>
      </c>
      <c r="M23" s="171">
        <f>IF(K23&lt;Cashflow!$AT$105,0,IF(K23&lt;Cashflow!$AT$106,Cashflow!$AW$105,IF(K23&lt;Cashflow!$AT$107,Cashflow!$AW$106,Cashflow!$AW$107)))</f>
        <v>0</v>
      </c>
      <c r="N23" s="171">
        <f>K23*Cashflow!$AW$65</f>
        <v>96.7455944425365</v>
      </c>
      <c r="O23" s="172">
        <f>N23+M23+L23</f>
        <v>1346.7455944425365</v>
      </c>
      <c r="P23" s="178">
        <f>O23/K23</f>
        <v>1.3467455944425364</v>
      </c>
      <c r="R23" s="170">
        <v>1000</v>
      </c>
      <c r="S23" s="171">
        <f>R23*Cashflow!$AW$81</f>
        <v>1290</v>
      </c>
      <c r="T23" s="171">
        <f>IF(R23&lt;Cashflow!$AT$105,0,IF(R23&lt;Cashflow!$AT$106,Cashflow!$AW$105,IF(R23&lt;Cashflow!$AT$107,Cashflow!$AW$106,Cashflow!$AW$107)))</f>
        <v>0</v>
      </c>
      <c r="U23" s="171">
        <f>R23*Cashflow!$AW$80</f>
        <v>93.744655273459841</v>
      </c>
      <c r="V23" s="172">
        <f>U23+T23+S23</f>
        <v>1383.7446552734598</v>
      </c>
      <c r="W23" s="178">
        <f>V23/R23</f>
        <v>1.3837446552734598</v>
      </c>
    </row>
    <row r="24" spans="2:23" x14ac:dyDescent="0.25">
      <c r="B24" s="170">
        <v>2000</v>
      </c>
      <c r="C24" s="171">
        <f>B24*Cashflow!$AW$73</f>
        <v>2500</v>
      </c>
      <c r="D24" s="171">
        <f>IF(B24&lt;Cashflow!$AT$105,0,IF(B24&lt;Cashflow!$AT$106,Cashflow!$AW$105,IF(B24&lt;Cashflow!$AT$107,Cashflow!$AW$106,Cashflow!$AW$107)))</f>
        <v>0</v>
      </c>
      <c r="E24" s="171">
        <f>B24*Cashflow!$AW$65</f>
        <v>193.491188885073</v>
      </c>
      <c r="F24" s="172">
        <f t="shared" ref="F24:F37" si="9">E24+D24+C24</f>
        <v>2693.4911888850729</v>
      </c>
      <c r="G24" s="178">
        <f t="shared" ref="G24:G37" si="10">F24/B24</f>
        <v>1.3467455944425364</v>
      </c>
      <c r="I24" s="179"/>
      <c r="K24" s="170">
        <v>2000</v>
      </c>
      <c r="L24" s="171">
        <f>K24*Cashflow!$AW$73</f>
        <v>2500</v>
      </c>
      <c r="M24" s="171">
        <f>IF(K24&lt;Cashflow!$AT$105,0,IF(K24&lt;Cashflow!$AT$106,Cashflow!$AW$105,IF(K24&lt;Cashflow!$AT$107,Cashflow!$AW$106,Cashflow!$AW$107)))</f>
        <v>0</v>
      </c>
      <c r="N24" s="171">
        <f>K24*Cashflow!$AW$65</f>
        <v>193.491188885073</v>
      </c>
      <c r="O24" s="172">
        <f t="shared" ref="O24:O37" si="11">N24+M24+L24</f>
        <v>2693.4911888850729</v>
      </c>
      <c r="P24" s="178">
        <f t="shared" ref="P24:P37" si="12">O24/K24</f>
        <v>1.3467455944425364</v>
      </c>
      <c r="R24" s="170">
        <v>2000</v>
      </c>
      <c r="S24" s="171">
        <f>R24*Cashflow!$AW$81</f>
        <v>2580</v>
      </c>
      <c r="T24" s="171">
        <f>IF(R24&lt;Cashflow!$AT$105,0,IF(R24&lt;Cashflow!$AT$106,Cashflow!$AW$105,IF(R24&lt;Cashflow!$AT$107,Cashflow!$AW$106,Cashflow!$AW$107)))</f>
        <v>0</v>
      </c>
      <c r="U24" s="171">
        <f>R24*Cashflow!$AW$80</f>
        <v>187.48931054691968</v>
      </c>
      <c r="V24" s="172">
        <f t="shared" ref="V24:V37" si="13">U24+T24+S24</f>
        <v>2767.4893105469196</v>
      </c>
      <c r="W24" s="178">
        <f t="shared" ref="W24:W37" si="14">V24/R24</f>
        <v>1.3837446552734598</v>
      </c>
    </row>
    <row r="25" spans="2:23" x14ac:dyDescent="0.25">
      <c r="B25" s="170">
        <v>2500</v>
      </c>
      <c r="C25" s="171">
        <f>B25*Cashflow!$AW$73</f>
        <v>3125</v>
      </c>
      <c r="D25" s="171">
        <f>IF(B25&lt;Cashflow!$AT$105,0,IF(B25&lt;Cashflow!$AT$106,Cashflow!$AW$105,IF(B25&lt;Cashflow!$AT$107,Cashflow!$AW$106,Cashflow!$AW$107)))</f>
        <v>1163.8999999999999</v>
      </c>
      <c r="E25" s="171">
        <f>B25*Cashflow!$AW$65</f>
        <v>241.86398610634126</v>
      </c>
      <c r="F25" s="172">
        <f t="shared" si="9"/>
        <v>4530.7639861063417</v>
      </c>
      <c r="G25" s="178">
        <f t="shared" si="10"/>
        <v>1.8123055944425366</v>
      </c>
      <c r="I25" s="179"/>
      <c r="K25" s="170">
        <v>2500</v>
      </c>
      <c r="L25" s="171">
        <f>K25*Cashflow!$AW$73</f>
        <v>3125</v>
      </c>
      <c r="M25" s="171">
        <f>IF(K25&lt;Cashflow!$AT$105,0,IF(K25&lt;Cashflow!$AT$106,Cashflow!$AW$105,IF(K25&lt;Cashflow!$AT$107,Cashflow!$AW$106,Cashflow!$AW$107)))</f>
        <v>1163.8999999999999</v>
      </c>
      <c r="N25" s="171">
        <f>K25*Cashflow!$AW$65</f>
        <v>241.86398610634126</v>
      </c>
      <c r="O25" s="172">
        <f t="shared" si="11"/>
        <v>4530.7639861063417</v>
      </c>
      <c r="P25" s="178">
        <f t="shared" si="12"/>
        <v>1.8123055944425366</v>
      </c>
      <c r="R25" s="170">
        <v>2500</v>
      </c>
      <c r="S25" s="171">
        <f>R25*Cashflow!$AW$81</f>
        <v>3225</v>
      </c>
      <c r="T25" s="171">
        <f>IF(R25&lt;Cashflow!$AT$105,0,IF(R25&lt;Cashflow!$AT$106,Cashflow!$AW$105,IF(R25&lt;Cashflow!$AT$107,Cashflow!$AW$106,Cashflow!$AW$107)))</f>
        <v>1163.8999999999999</v>
      </c>
      <c r="U25" s="171">
        <f>R25*Cashflow!$AW$80</f>
        <v>234.36163818364963</v>
      </c>
      <c r="V25" s="172">
        <f t="shared" si="13"/>
        <v>4623.2616381836497</v>
      </c>
      <c r="W25" s="178">
        <f t="shared" si="14"/>
        <v>1.8493046552734598</v>
      </c>
    </row>
    <row r="26" spans="2:23" x14ac:dyDescent="0.25">
      <c r="B26" s="170">
        <v>2830</v>
      </c>
      <c r="C26" s="171">
        <f>B26*Cashflow!$AW$73</f>
        <v>3537.5</v>
      </c>
      <c r="D26" s="171">
        <f>IF(B26&lt;Cashflow!$AT$105,0,IF(B26&lt;Cashflow!$AT$106,Cashflow!$AW$105,IF(B26&lt;Cashflow!$AT$107,Cashflow!$AW$106,Cashflow!$AW$107)))</f>
        <v>1209.5</v>
      </c>
      <c r="E26" s="171">
        <f>B26*Cashflow!$AW$65</f>
        <v>273.79003227237831</v>
      </c>
      <c r="F26" s="172">
        <f t="shared" si="9"/>
        <v>5020.7900322723781</v>
      </c>
      <c r="G26" s="178">
        <f t="shared" si="10"/>
        <v>1.7741307534531372</v>
      </c>
      <c r="I26" s="179"/>
      <c r="K26" s="170">
        <v>2830</v>
      </c>
      <c r="L26" s="171">
        <f>K26*Cashflow!$AW$73</f>
        <v>3537.5</v>
      </c>
      <c r="M26" s="171">
        <f>IF(K26&lt;Cashflow!$AT$105,0,IF(K26&lt;Cashflow!$AT$106,Cashflow!$AW$105,IF(K26&lt;Cashflow!$AT$107,Cashflow!$AW$106,Cashflow!$AW$107)))</f>
        <v>1209.5</v>
      </c>
      <c r="N26" s="171">
        <f>K26*Cashflow!$AW$65</f>
        <v>273.79003227237831</v>
      </c>
      <c r="O26" s="172">
        <f t="shared" si="11"/>
        <v>5020.7900322723781</v>
      </c>
      <c r="P26" s="178">
        <f t="shared" si="12"/>
        <v>1.7741307534531372</v>
      </c>
      <c r="R26" s="170">
        <v>2830</v>
      </c>
      <c r="S26" s="171">
        <f>R26*Cashflow!$AW$81</f>
        <v>3650.7000000000003</v>
      </c>
      <c r="T26" s="171">
        <f>IF(R26&lt;Cashflow!$AT$105,0,IF(R26&lt;Cashflow!$AT$106,Cashflow!$AW$105,IF(R26&lt;Cashflow!$AT$107,Cashflow!$AW$106,Cashflow!$AW$107)))</f>
        <v>1209.5</v>
      </c>
      <c r="U26" s="171">
        <f>R26*Cashflow!$AW$80</f>
        <v>265.29737442389137</v>
      </c>
      <c r="V26" s="172">
        <f t="shared" si="13"/>
        <v>5125.4973744238914</v>
      </c>
      <c r="W26" s="178">
        <f t="shared" si="14"/>
        <v>1.8111298142840606</v>
      </c>
    </row>
    <row r="27" spans="2:23" x14ac:dyDescent="0.25">
      <c r="B27" s="170">
        <v>3150</v>
      </c>
      <c r="C27" s="171">
        <f>B27*Cashflow!$AW$73</f>
        <v>3937.5</v>
      </c>
      <c r="D27" s="171">
        <f>IF(B27&lt;Cashflow!$AT$105,0,IF(B27&lt;Cashflow!$AT$106,Cashflow!$AW$105,IF(B27&lt;Cashflow!$AT$107,Cashflow!$AW$106,Cashflow!$AW$107)))</f>
        <v>1255</v>
      </c>
      <c r="E27" s="171">
        <f>B27*Cashflow!$AW$65</f>
        <v>304.74862249398996</v>
      </c>
      <c r="F27" s="172">
        <f t="shared" si="9"/>
        <v>5497.2486224939894</v>
      </c>
      <c r="G27" s="178">
        <f t="shared" si="10"/>
        <v>1.7451582928552347</v>
      </c>
      <c r="I27" s="179"/>
      <c r="K27" s="170">
        <v>3150</v>
      </c>
      <c r="L27" s="171">
        <f>K27*Cashflow!$AW$73</f>
        <v>3937.5</v>
      </c>
      <c r="M27" s="171">
        <f>IF(K27&lt;Cashflow!$AT$105,0,IF(K27&lt;Cashflow!$AT$106,Cashflow!$AW$105,IF(K27&lt;Cashflow!$AT$107,Cashflow!$AW$106,Cashflow!$AW$107)))</f>
        <v>1255</v>
      </c>
      <c r="N27" s="171">
        <f>K27*Cashflow!$AW$65</f>
        <v>304.74862249398996</v>
      </c>
      <c r="O27" s="172">
        <f t="shared" si="11"/>
        <v>5497.2486224939894</v>
      </c>
      <c r="P27" s="178">
        <f t="shared" si="12"/>
        <v>1.7451582928552347</v>
      </c>
      <c r="R27" s="170">
        <v>3150</v>
      </c>
      <c r="S27" s="171">
        <f>R27*Cashflow!$AW$81</f>
        <v>4063.5</v>
      </c>
      <c r="T27" s="171">
        <f>IF(R27&lt;Cashflow!$AT$105,0,IF(R27&lt;Cashflow!$AT$106,Cashflow!$AW$105,IF(R27&lt;Cashflow!$AT$107,Cashflow!$AW$106,Cashflow!$AW$107)))</f>
        <v>1255</v>
      </c>
      <c r="U27" s="171">
        <f>R27*Cashflow!$AW$80</f>
        <v>295.29566411139854</v>
      </c>
      <c r="V27" s="172">
        <f t="shared" si="13"/>
        <v>5613.7956641113988</v>
      </c>
      <c r="W27" s="178">
        <f t="shared" si="14"/>
        <v>1.7821573536861584</v>
      </c>
    </row>
    <row r="28" spans="2:23" x14ac:dyDescent="0.25">
      <c r="B28" s="170">
        <v>4000</v>
      </c>
      <c r="C28" s="171">
        <f>B28*Cashflow!$AW$73</f>
        <v>5000</v>
      </c>
      <c r="D28" s="171">
        <f>IF(B28&lt;Cashflow!$AT$105,0,IF(B28&lt;Cashflow!$AT$106,Cashflow!$AW$105,IF(B28&lt;Cashflow!$AT$107,Cashflow!$AW$106,Cashflow!$AW$107)))</f>
        <v>1255</v>
      </c>
      <c r="E28" s="171">
        <f>B28*Cashflow!$AW$65</f>
        <v>386.982377770146</v>
      </c>
      <c r="F28" s="172">
        <f t="shared" si="9"/>
        <v>6641.9823777701458</v>
      </c>
      <c r="G28" s="178">
        <f t="shared" si="10"/>
        <v>1.6604955944425364</v>
      </c>
      <c r="I28" s="179"/>
      <c r="K28" s="170">
        <v>4000</v>
      </c>
      <c r="L28" s="171">
        <f>K28*Cashflow!$AW$73</f>
        <v>5000</v>
      </c>
      <c r="M28" s="171">
        <f>IF(K28&lt;Cashflow!$AT$105,0,IF(K28&lt;Cashflow!$AT$106,Cashflow!$AW$105,IF(K28&lt;Cashflow!$AT$107,Cashflow!$AW$106,Cashflow!$AW$107)))</f>
        <v>1255</v>
      </c>
      <c r="N28" s="171">
        <f>K28*Cashflow!$AW$65</f>
        <v>386.982377770146</v>
      </c>
      <c r="O28" s="172">
        <f t="shared" si="11"/>
        <v>6641.9823777701458</v>
      </c>
      <c r="P28" s="178">
        <f t="shared" si="12"/>
        <v>1.6604955944425364</v>
      </c>
      <c r="R28" s="170">
        <v>4000</v>
      </c>
      <c r="S28" s="171">
        <f>R28*Cashflow!$AW$81</f>
        <v>5160</v>
      </c>
      <c r="T28" s="171">
        <f>IF(R28&lt;Cashflow!$AT$105,0,IF(R28&lt;Cashflow!$AT$106,Cashflow!$AW$105,IF(R28&lt;Cashflow!$AT$107,Cashflow!$AW$106,Cashflow!$AW$107)))</f>
        <v>1255</v>
      </c>
      <c r="U28" s="171">
        <f>R28*Cashflow!$AW$80</f>
        <v>374.97862109383937</v>
      </c>
      <c r="V28" s="172">
        <f t="shared" si="13"/>
        <v>6789.9786210938391</v>
      </c>
      <c r="W28" s="178">
        <f t="shared" si="14"/>
        <v>1.6974946552734598</v>
      </c>
    </row>
    <row r="29" spans="2:23" x14ac:dyDescent="0.25">
      <c r="B29" s="170">
        <v>5000</v>
      </c>
      <c r="C29" s="171">
        <f>B29*Cashflow!$AW$73</f>
        <v>6250</v>
      </c>
      <c r="D29" s="171">
        <f>IF(B29&lt;Cashflow!$AT$105,0,IF(B29&lt;Cashflow!$AT$106,Cashflow!$AW$105,IF(B29&lt;Cashflow!$AT$107,Cashflow!$AW$106,Cashflow!$AW$107)))</f>
        <v>1255</v>
      </c>
      <c r="E29" s="171">
        <f>B29*Cashflow!$AW$65</f>
        <v>483.72797221268252</v>
      </c>
      <c r="F29" s="172">
        <f t="shared" si="9"/>
        <v>7988.7279722126823</v>
      </c>
      <c r="G29" s="178">
        <f t="shared" si="10"/>
        <v>1.5977455944425365</v>
      </c>
      <c r="I29" s="179"/>
      <c r="K29" s="170">
        <v>5000</v>
      </c>
      <c r="L29" s="171">
        <f>K29*Cashflow!$AW$73</f>
        <v>6250</v>
      </c>
      <c r="M29" s="171">
        <f>IF(K29&lt;Cashflow!$AT$105,0,IF(K29&lt;Cashflow!$AT$106,Cashflow!$AW$105,IF(K29&lt;Cashflow!$AT$107,Cashflow!$AW$106,Cashflow!$AW$107)))</f>
        <v>1255</v>
      </c>
      <c r="N29" s="171">
        <f>K29*Cashflow!$AW$65</f>
        <v>483.72797221268252</v>
      </c>
      <c r="O29" s="172">
        <f t="shared" si="11"/>
        <v>7988.7279722126823</v>
      </c>
      <c r="P29" s="178">
        <f t="shared" si="12"/>
        <v>1.5977455944425365</v>
      </c>
      <c r="R29" s="170">
        <v>5000</v>
      </c>
      <c r="S29" s="171">
        <f>R29*Cashflow!$AW$81</f>
        <v>6450</v>
      </c>
      <c r="T29" s="171">
        <f>IF(R29&lt;Cashflow!$AT$105,0,IF(R29&lt;Cashflow!$AT$106,Cashflow!$AW$105,IF(R29&lt;Cashflow!$AT$107,Cashflow!$AW$106,Cashflow!$AW$107)))</f>
        <v>1255</v>
      </c>
      <c r="U29" s="171">
        <f>R29*Cashflow!$AW$80</f>
        <v>468.72327636729926</v>
      </c>
      <c r="V29" s="172">
        <f t="shared" si="13"/>
        <v>8173.7232763672991</v>
      </c>
      <c r="W29" s="178">
        <f t="shared" si="14"/>
        <v>1.6347446552734599</v>
      </c>
    </row>
    <row r="30" spans="2:23" x14ac:dyDescent="0.25">
      <c r="B30" s="170">
        <v>6000</v>
      </c>
      <c r="C30" s="171">
        <f>B30*Cashflow!$AW$73</f>
        <v>7500</v>
      </c>
      <c r="D30" s="171">
        <f>IF(B30&lt;Cashflow!$AT$105,0,IF(B30&lt;Cashflow!$AT$106,Cashflow!$AW$105,IF(B30&lt;Cashflow!$AT$107,Cashflow!$AW$106,Cashflow!$AW$107)))</f>
        <v>1255</v>
      </c>
      <c r="E30" s="171">
        <f>B30*Cashflow!$AW$65</f>
        <v>580.47356665521897</v>
      </c>
      <c r="F30" s="172">
        <f t="shared" si="9"/>
        <v>9335.4735666552187</v>
      </c>
      <c r="G30" s="178">
        <f t="shared" si="10"/>
        <v>1.5559122611092031</v>
      </c>
      <c r="I30" s="179"/>
      <c r="K30" s="170">
        <v>6000</v>
      </c>
      <c r="L30" s="171">
        <f>K30*Cashflow!$AW$73</f>
        <v>7500</v>
      </c>
      <c r="M30" s="171">
        <f>IF(K30&lt;Cashflow!$AT$105,0,IF(K30&lt;Cashflow!$AT$106,Cashflow!$AW$105,IF(K30&lt;Cashflow!$AT$107,Cashflow!$AW$106,Cashflow!$AW$107)))</f>
        <v>1255</v>
      </c>
      <c r="N30" s="171">
        <f>K30*Cashflow!$AW$65</f>
        <v>580.47356665521897</v>
      </c>
      <c r="O30" s="172">
        <f t="shared" si="11"/>
        <v>9335.4735666552187</v>
      </c>
      <c r="P30" s="178">
        <f t="shared" si="12"/>
        <v>1.5559122611092031</v>
      </c>
      <c r="R30" s="170">
        <v>6000</v>
      </c>
      <c r="S30" s="171">
        <f>R30*Cashflow!$AW$81</f>
        <v>7740</v>
      </c>
      <c r="T30" s="171">
        <f>IF(R30&lt;Cashflow!$AT$105,0,IF(R30&lt;Cashflow!$AT$106,Cashflow!$AW$105,IF(R30&lt;Cashflow!$AT$107,Cashflow!$AW$106,Cashflow!$AW$107)))</f>
        <v>1255</v>
      </c>
      <c r="U30" s="171">
        <f>R30*Cashflow!$AW$80</f>
        <v>562.46793164075905</v>
      </c>
      <c r="V30" s="172">
        <f t="shared" si="13"/>
        <v>9557.4679316407601</v>
      </c>
      <c r="W30" s="178">
        <f t="shared" si="14"/>
        <v>1.5929113219401267</v>
      </c>
    </row>
    <row r="31" spans="2:23" x14ac:dyDescent="0.25">
      <c r="B31" s="170">
        <v>7000</v>
      </c>
      <c r="C31" s="171">
        <f>B31*Cashflow!$AW$73</f>
        <v>8750</v>
      </c>
      <c r="D31" s="171">
        <f>IF(B31&lt;Cashflow!$AT$105,0,IF(B31&lt;Cashflow!$AT$106,Cashflow!$AW$105,IF(B31&lt;Cashflow!$AT$107,Cashflow!$AW$106,Cashflow!$AW$107)))</f>
        <v>1255</v>
      </c>
      <c r="E31" s="171">
        <f>B31*Cashflow!$AW$65</f>
        <v>677.21916109775543</v>
      </c>
      <c r="F31" s="172">
        <f t="shared" si="9"/>
        <v>10682.219161097755</v>
      </c>
      <c r="G31" s="178">
        <f t="shared" si="10"/>
        <v>1.5260313087282507</v>
      </c>
      <c r="I31" s="179"/>
      <c r="K31" s="170">
        <v>7000</v>
      </c>
      <c r="L31" s="171">
        <f>K31*Cashflow!$AW$73</f>
        <v>8750</v>
      </c>
      <c r="M31" s="171">
        <f>IF(K31&lt;Cashflow!$AT$105,0,IF(K31&lt;Cashflow!$AT$106,Cashflow!$AW$105,IF(K31&lt;Cashflow!$AT$107,Cashflow!$AW$106,Cashflow!$AW$107)))</f>
        <v>1255</v>
      </c>
      <c r="N31" s="171">
        <f>K31*Cashflow!$AW$65</f>
        <v>677.21916109775543</v>
      </c>
      <c r="O31" s="172">
        <f t="shared" si="11"/>
        <v>10682.219161097755</v>
      </c>
      <c r="P31" s="178">
        <f t="shared" si="12"/>
        <v>1.5260313087282507</v>
      </c>
      <c r="R31" s="170">
        <v>7000</v>
      </c>
      <c r="S31" s="171">
        <f>R31*Cashflow!$AW$81</f>
        <v>9030</v>
      </c>
      <c r="T31" s="171">
        <f>IF(R31&lt;Cashflow!$AT$105,0,IF(R31&lt;Cashflow!$AT$106,Cashflow!$AW$105,IF(R31&lt;Cashflow!$AT$107,Cashflow!$AW$106,Cashflow!$AW$107)))</f>
        <v>1255</v>
      </c>
      <c r="U31" s="171">
        <f>R31*Cashflow!$AW$80</f>
        <v>656.21258691421895</v>
      </c>
      <c r="V31" s="172">
        <f t="shared" si="13"/>
        <v>10941.212586914218</v>
      </c>
      <c r="W31" s="178">
        <f t="shared" si="14"/>
        <v>1.5630303695591741</v>
      </c>
    </row>
    <row r="32" spans="2:23" x14ac:dyDescent="0.25">
      <c r="B32" s="170">
        <v>8000</v>
      </c>
      <c r="C32" s="171">
        <f>B32*Cashflow!$AW$73</f>
        <v>10000</v>
      </c>
      <c r="D32" s="171">
        <f>IF(B32&lt;Cashflow!$AT$105,0,IF(B32&lt;Cashflow!$AT$106,Cashflow!$AW$105,IF(B32&lt;Cashflow!$AT$107,Cashflow!$AW$106,Cashflow!$AW$107)))</f>
        <v>1255</v>
      </c>
      <c r="E32" s="171">
        <f>B32*Cashflow!$AW$65</f>
        <v>773.964755540292</v>
      </c>
      <c r="F32" s="172">
        <f t="shared" si="9"/>
        <v>12028.964755540292</v>
      </c>
      <c r="G32" s="178">
        <f t="shared" si="10"/>
        <v>1.5036205944425365</v>
      </c>
      <c r="I32" s="179"/>
      <c r="K32" s="170">
        <v>8000</v>
      </c>
      <c r="L32" s="171">
        <f>K32*Cashflow!$AW$73</f>
        <v>10000</v>
      </c>
      <c r="M32" s="171">
        <f>IF(K32&lt;Cashflow!$AT$105,0,IF(K32&lt;Cashflow!$AT$106,Cashflow!$AW$105,IF(K32&lt;Cashflow!$AT$107,Cashflow!$AW$106,Cashflow!$AW$107)))</f>
        <v>1255</v>
      </c>
      <c r="N32" s="171">
        <f>K32*Cashflow!$AW$65</f>
        <v>773.964755540292</v>
      </c>
      <c r="O32" s="172">
        <f t="shared" si="11"/>
        <v>12028.964755540292</v>
      </c>
      <c r="P32" s="178">
        <f t="shared" si="12"/>
        <v>1.5036205944425365</v>
      </c>
      <c r="R32" s="170">
        <v>8000</v>
      </c>
      <c r="S32" s="171">
        <f>R32*Cashflow!$AW$81</f>
        <v>10320</v>
      </c>
      <c r="T32" s="171">
        <f>IF(R32&lt;Cashflow!$AT$105,0,IF(R32&lt;Cashflow!$AT$106,Cashflow!$AW$105,IF(R32&lt;Cashflow!$AT$107,Cashflow!$AW$106,Cashflow!$AW$107)))</f>
        <v>1255</v>
      </c>
      <c r="U32" s="171">
        <f>R32*Cashflow!$AW$80</f>
        <v>749.95724218767873</v>
      </c>
      <c r="V32" s="172">
        <f t="shared" si="13"/>
        <v>12324.957242187678</v>
      </c>
      <c r="W32" s="178">
        <f t="shared" si="14"/>
        <v>1.5406196552734597</v>
      </c>
    </row>
    <row r="33" spans="2:23" x14ac:dyDescent="0.25">
      <c r="B33" s="170">
        <v>9000</v>
      </c>
      <c r="C33" s="171">
        <f>B33*Cashflow!$AW$73</f>
        <v>11250</v>
      </c>
      <c r="D33" s="171">
        <f>IF(B33&lt;Cashflow!$AT$105,0,IF(B33&lt;Cashflow!$AT$106,Cashflow!$AW$105,IF(B33&lt;Cashflow!$AT$107,Cashflow!$AW$106,Cashflow!$AW$107)))</f>
        <v>1255</v>
      </c>
      <c r="E33" s="171">
        <f>B33*Cashflow!$AW$65</f>
        <v>870.71034998282846</v>
      </c>
      <c r="F33" s="172">
        <f t="shared" si="9"/>
        <v>13375.710349982828</v>
      </c>
      <c r="G33" s="178">
        <f t="shared" si="10"/>
        <v>1.4861900388869809</v>
      </c>
      <c r="I33" s="179"/>
      <c r="K33" s="170">
        <v>9000</v>
      </c>
      <c r="L33" s="171">
        <f>K33*Cashflow!$AW$73</f>
        <v>11250</v>
      </c>
      <c r="M33" s="171">
        <f>IF(K33&lt;Cashflow!$AT$105,0,IF(K33&lt;Cashflow!$AT$106,Cashflow!$AW$105,IF(K33&lt;Cashflow!$AT$107,Cashflow!$AW$106,Cashflow!$AW$107)))</f>
        <v>1255</v>
      </c>
      <c r="N33" s="171">
        <f>K33*Cashflow!$AW$65</f>
        <v>870.71034998282846</v>
      </c>
      <c r="O33" s="172">
        <f t="shared" si="11"/>
        <v>13375.710349982828</v>
      </c>
      <c r="P33" s="178">
        <f t="shared" si="12"/>
        <v>1.4861900388869809</v>
      </c>
      <c r="R33" s="170">
        <v>9000</v>
      </c>
      <c r="S33" s="171">
        <f>R33*Cashflow!$AW$81</f>
        <v>11610</v>
      </c>
      <c r="T33" s="171">
        <f>IF(R33&lt;Cashflow!$AT$105,0,IF(R33&lt;Cashflow!$AT$106,Cashflow!$AW$105,IF(R33&lt;Cashflow!$AT$107,Cashflow!$AW$106,Cashflow!$AW$107)))</f>
        <v>1255</v>
      </c>
      <c r="U33" s="171">
        <f>R33*Cashflow!$AW$80</f>
        <v>843.70189746113863</v>
      </c>
      <c r="V33" s="172">
        <f t="shared" si="13"/>
        <v>13708.701897461138</v>
      </c>
      <c r="W33" s="178">
        <f t="shared" si="14"/>
        <v>1.5231890997179043</v>
      </c>
    </row>
    <row r="34" spans="2:23" x14ac:dyDescent="0.25">
      <c r="B34" s="170">
        <v>10000</v>
      </c>
      <c r="C34" s="171">
        <f>B34*Cashflow!$AW$73</f>
        <v>12500</v>
      </c>
      <c r="D34" s="171">
        <f>IF(B34&lt;Cashflow!$AT$105,0,IF(B34&lt;Cashflow!$AT$106,Cashflow!$AW$105,IF(B34&lt;Cashflow!$AT$107,Cashflow!$AW$106,Cashflow!$AW$107)))</f>
        <v>1255</v>
      </c>
      <c r="E34" s="171">
        <f>B34*Cashflow!$AW$65</f>
        <v>967.45594442536503</v>
      </c>
      <c r="F34" s="172">
        <f t="shared" si="9"/>
        <v>14722.455944425365</v>
      </c>
      <c r="G34" s="178">
        <f t="shared" si="10"/>
        <v>1.4722455944425366</v>
      </c>
      <c r="I34" s="179"/>
      <c r="K34" s="170">
        <v>10000</v>
      </c>
      <c r="L34" s="171">
        <f>K34*Cashflow!$AW$73</f>
        <v>12500</v>
      </c>
      <c r="M34" s="171">
        <f>IF(K34&lt;Cashflow!$AT$105,0,IF(K34&lt;Cashflow!$AT$106,Cashflow!$AW$105,IF(K34&lt;Cashflow!$AT$107,Cashflow!$AW$106,Cashflow!$AW$107)))</f>
        <v>1255</v>
      </c>
      <c r="N34" s="171">
        <f>K34*Cashflow!$AW$65</f>
        <v>967.45594442536503</v>
      </c>
      <c r="O34" s="172">
        <f t="shared" si="11"/>
        <v>14722.455944425365</v>
      </c>
      <c r="P34" s="178">
        <f t="shared" si="12"/>
        <v>1.4722455944425366</v>
      </c>
      <c r="R34" s="170">
        <v>10000</v>
      </c>
      <c r="S34" s="171">
        <f>R34*Cashflow!$AW$81</f>
        <v>12900</v>
      </c>
      <c r="T34" s="171">
        <f>IF(R34&lt;Cashflow!$AT$105,0,IF(R34&lt;Cashflow!$AT$106,Cashflow!$AW$105,IF(R34&lt;Cashflow!$AT$107,Cashflow!$AW$106,Cashflow!$AW$107)))</f>
        <v>1255</v>
      </c>
      <c r="U34" s="171">
        <f>R34*Cashflow!$AW$80</f>
        <v>937.44655273459853</v>
      </c>
      <c r="V34" s="172">
        <f t="shared" si="13"/>
        <v>15092.446552734598</v>
      </c>
      <c r="W34" s="178">
        <f t="shared" si="14"/>
        <v>1.5092446552734597</v>
      </c>
    </row>
    <row r="35" spans="2:23" x14ac:dyDescent="0.25">
      <c r="B35" s="170">
        <v>11000</v>
      </c>
      <c r="C35" s="171">
        <f>B35*Cashflow!$AW$73</f>
        <v>13750</v>
      </c>
      <c r="D35" s="171">
        <f>IF(B35&lt;Cashflow!$AT$105,0,IF(B35&lt;Cashflow!$AT$106,Cashflow!$AW$105,IF(B35&lt;Cashflow!$AT$107,Cashflow!$AW$106,Cashflow!$AW$107)))</f>
        <v>1255</v>
      </c>
      <c r="E35" s="171">
        <f>B35*Cashflow!$AW$65</f>
        <v>1064.2015388679015</v>
      </c>
      <c r="F35" s="172">
        <f t="shared" si="9"/>
        <v>16069.201538867901</v>
      </c>
      <c r="G35" s="178">
        <f t="shared" si="10"/>
        <v>1.4608365035334456</v>
      </c>
      <c r="I35" s="179"/>
      <c r="K35" s="170">
        <v>11000</v>
      </c>
      <c r="L35" s="171">
        <f>K35*Cashflow!$AW$73</f>
        <v>13750</v>
      </c>
      <c r="M35" s="171">
        <f>IF(K35&lt;Cashflow!$AT$105,0,IF(K35&lt;Cashflow!$AT$106,Cashflow!$AW$105,IF(K35&lt;Cashflow!$AT$107,Cashflow!$AW$106,Cashflow!$AW$107)))</f>
        <v>1255</v>
      </c>
      <c r="N35" s="171">
        <f>K35*Cashflow!$AW$65</f>
        <v>1064.2015388679015</v>
      </c>
      <c r="O35" s="172">
        <f t="shared" si="11"/>
        <v>16069.201538867901</v>
      </c>
      <c r="P35" s="178">
        <f t="shared" si="12"/>
        <v>1.4608365035334456</v>
      </c>
      <c r="R35" s="170">
        <v>11000</v>
      </c>
      <c r="S35" s="171">
        <f>R35*Cashflow!$AW$81</f>
        <v>14190</v>
      </c>
      <c r="T35" s="171">
        <f>IF(R35&lt;Cashflow!$AT$105,0,IF(R35&lt;Cashflow!$AT$106,Cashflow!$AW$105,IF(R35&lt;Cashflow!$AT$107,Cashflow!$AW$106,Cashflow!$AW$107)))</f>
        <v>1255</v>
      </c>
      <c r="U35" s="171">
        <f>R35*Cashflow!$AW$80</f>
        <v>1031.1912080080583</v>
      </c>
      <c r="V35" s="172">
        <f t="shared" si="13"/>
        <v>16476.191208008058</v>
      </c>
      <c r="W35" s="178">
        <f t="shared" si="14"/>
        <v>1.497835564364369</v>
      </c>
    </row>
    <row r="36" spans="2:23" x14ac:dyDescent="0.25">
      <c r="B36" s="170">
        <v>13000</v>
      </c>
      <c r="C36" s="171">
        <f>B36*Cashflow!$AW$73</f>
        <v>16250</v>
      </c>
      <c r="D36" s="171">
        <f>IF(B36&lt;Cashflow!$AT$105,0,IF(B36&lt;Cashflow!$AT$106,Cashflow!$AW$105,IF(B36&lt;Cashflow!$AT$107,Cashflow!$AW$106,Cashflow!$AW$107)))</f>
        <v>1255</v>
      </c>
      <c r="E36" s="171">
        <f>B36*Cashflow!$AW$65</f>
        <v>1257.6927277529744</v>
      </c>
      <c r="F36" s="172">
        <f t="shared" si="9"/>
        <v>18762.692727752976</v>
      </c>
      <c r="G36" s="178">
        <f t="shared" si="10"/>
        <v>1.4432840559809981</v>
      </c>
      <c r="I36" s="179"/>
      <c r="K36" s="170">
        <v>13000</v>
      </c>
      <c r="L36" s="171">
        <f>K36*Cashflow!$AW$73</f>
        <v>16250</v>
      </c>
      <c r="M36" s="171">
        <f>IF(K36&lt;Cashflow!$AT$105,0,IF(K36&lt;Cashflow!$AT$106,Cashflow!$AW$105,IF(K36&lt;Cashflow!$AT$107,Cashflow!$AW$106,Cashflow!$AW$107)))</f>
        <v>1255</v>
      </c>
      <c r="N36" s="171">
        <f>K36*Cashflow!$AW$65</f>
        <v>1257.6927277529744</v>
      </c>
      <c r="O36" s="172">
        <f t="shared" si="11"/>
        <v>18762.692727752976</v>
      </c>
      <c r="P36" s="178">
        <f t="shared" si="12"/>
        <v>1.4432840559809981</v>
      </c>
      <c r="R36" s="170">
        <v>13000</v>
      </c>
      <c r="S36" s="171">
        <f>R36*Cashflow!$AW$81</f>
        <v>16770</v>
      </c>
      <c r="T36" s="171">
        <f>IF(R36&lt;Cashflow!$AT$105,0,IF(R36&lt;Cashflow!$AT$106,Cashflow!$AW$105,IF(R36&lt;Cashflow!$AT$107,Cashflow!$AW$106,Cashflow!$AW$107)))</f>
        <v>1255</v>
      </c>
      <c r="U36" s="171">
        <f>R36*Cashflow!$AW$80</f>
        <v>1218.6805185549781</v>
      </c>
      <c r="V36" s="172">
        <f t="shared" si="13"/>
        <v>19243.680518554978</v>
      </c>
      <c r="W36" s="178">
        <f t="shared" si="14"/>
        <v>1.4802831168119215</v>
      </c>
    </row>
    <row r="37" spans="2:23" ht="15.75" thickBot="1" x14ac:dyDescent="0.3">
      <c r="B37" s="170">
        <v>15000</v>
      </c>
      <c r="C37" s="171">
        <f>B37*Cashflow!$AW$73</f>
        <v>18750</v>
      </c>
      <c r="D37" s="171">
        <f>IF(B37&lt;Cashflow!$AT$105,0,IF(B37&lt;Cashflow!$AT$106,Cashflow!$AW$105,IF(B37&lt;Cashflow!$AT$107,Cashflow!$AW$106,Cashflow!$AW$107)))</f>
        <v>1255</v>
      </c>
      <c r="E37" s="171">
        <f>B37*Cashflow!$AW$65</f>
        <v>1451.1839166380475</v>
      </c>
      <c r="F37" s="174">
        <f t="shared" si="9"/>
        <v>21456.183916638049</v>
      </c>
      <c r="G37" s="180">
        <f t="shared" si="10"/>
        <v>1.4304122611092032</v>
      </c>
      <c r="I37" s="179"/>
      <c r="K37" s="170">
        <v>15000</v>
      </c>
      <c r="L37" s="171">
        <f>K37*Cashflow!$AW$73</f>
        <v>18750</v>
      </c>
      <c r="M37" s="171">
        <f>IF(K37&lt;Cashflow!$AT$105,0,IF(K37&lt;Cashflow!$AT$106,Cashflow!$AW$105,IF(K37&lt;Cashflow!$AT$107,Cashflow!$AW$106,Cashflow!$AW$107)))</f>
        <v>1255</v>
      </c>
      <c r="N37" s="171">
        <f>K37*Cashflow!$AW$65</f>
        <v>1451.1839166380475</v>
      </c>
      <c r="O37" s="174">
        <f t="shared" si="11"/>
        <v>21456.183916638049</v>
      </c>
      <c r="P37" s="180">
        <f t="shared" si="12"/>
        <v>1.4304122611092032</v>
      </c>
      <c r="R37" s="170">
        <v>15000</v>
      </c>
      <c r="S37" s="171">
        <f>R37*Cashflow!$AW$81</f>
        <v>19350</v>
      </c>
      <c r="T37" s="171">
        <f>IF(R37&lt;Cashflow!$AT$105,0,IF(R37&lt;Cashflow!$AT$106,Cashflow!$AW$105,IF(R37&lt;Cashflow!$AT$107,Cashflow!$AW$106,Cashflow!$AW$107)))</f>
        <v>1255</v>
      </c>
      <c r="U37" s="171">
        <f>R37*Cashflow!$AW$80</f>
        <v>1406.1698291018977</v>
      </c>
      <c r="V37" s="174">
        <f t="shared" si="13"/>
        <v>22011.169829101898</v>
      </c>
      <c r="W37" s="180">
        <f t="shared" si="14"/>
        <v>1.4674113219401266</v>
      </c>
    </row>
    <row r="38" spans="2:23" x14ac:dyDescent="0.25">
      <c r="D38" s="182"/>
    </row>
    <row r="41" spans="2:23" x14ac:dyDescent="0.25">
      <c r="B41" s="181"/>
      <c r="C41" s="181"/>
      <c r="D41" s="181"/>
      <c r="E41" s="181"/>
      <c r="F41" s="181"/>
      <c r="G41" s="181"/>
      <c r="H41" s="181"/>
    </row>
  </sheetData>
  <sheetProtection sheet="1" objects="1" scenarios="1"/>
  <mergeCells count="6">
    <mergeCell ref="B2:F2"/>
    <mergeCell ref="K2:O2"/>
    <mergeCell ref="B21:G21"/>
    <mergeCell ref="K21:P21"/>
    <mergeCell ref="R2:V2"/>
    <mergeCell ref="R21:W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Cashflow</vt:lpstr>
      <vt:lpstr>Indicative Income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Digby</dc:creator>
  <cp:lastModifiedBy>Michael Digby</cp:lastModifiedBy>
  <dcterms:created xsi:type="dcterms:W3CDTF">2016-10-21T09:07:12Z</dcterms:created>
  <dcterms:modified xsi:type="dcterms:W3CDTF">2018-05-02T14:42:35Z</dcterms:modified>
</cp:coreProperties>
</file>