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Users\mdigby\Downloads\"/>
    </mc:Choice>
  </mc:AlternateContent>
  <xr:revisionPtr revIDLastSave="0" documentId="13_ncr:1_{8D9E208C-FAA1-4EBF-A698-DEB8994E079B}" xr6:coauthVersionLast="36" xr6:coauthVersionMax="37" xr10:uidLastSave="{00000000-0000-0000-0000-000000000000}"/>
  <bookViews>
    <workbookView xWindow="0" yWindow="0" windowWidth="28800" windowHeight="12225" xr2:uid="{05049FA8-D9CA-4275-818B-6F16EB760461}"/>
  </bookViews>
  <sheets>
    <sheet name="Introduction" sheetId="3" r:id="rId1"/>
    <sheet name="Cashflow" sheetId="4" r:id="rId2"/>
    <sheet name="Indicative Income Tables" sheetId="5" r:id="rId3"/>
  </sheets>
  <externalReferences>
    <externalReference r:id="rId4"/>
  </externalReferences>
  <definedNames>
    <definedName name="Accruals">[1]Forecast!$E:$E</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C24" i="4" l="1"/>
  <c r="BC25" i="4"/>
  <c r="BC33" i="4" s="1"/>
  <c r="BC35" i="4" s="1"/>
  <c r="BC28" i="4"/>
  <c r="BC32" i="4"/>
  <c r="BC17" i="4"/>
  <c r="D21" i="4" l="1"/>
  <c r="AO24" i="5" l="1"/>
  <c r="AO25" i="5"/>
  <c r="AO26" i="5"/>
  <c r="AO27" i="5"/>
  <c r="AO28" i="5"/>
  <c r="AO29" i="5"/>
  <c r="AO30" i="5"/>
  <c r="AO31" i="5"/>
  <c r="AO32" i="5"/>
  <c r="AO33" i="5"/>
  <c r="AO34" i="5"/>
  <c r="AO35" i="5"/>
  <c r="AO36" i="5"/>
  <c r="AO37" i="5"/>
  <c r="AO23" i="5"/>
  <c r="AN24" i="5"/>
  <c r="AN25" i="5"/>
  <c r="AN26" i="5"/>
  <c r="AN27" i="5"/>
  <c r="AN28" i="5"/>
  <c r="AN29" i="5"/>
  <c r="AN30" i="5"/>
  <c r="AN31" i="5"/>
  <c r="AN32" i="5"/>
  <c r="AN33" i="5"/>
  <c r="AN34" i="5"/>
  <c r="AN35" i="5"/>
  <c r="AN36" i="5"/>
  <c r="AN37" i="5"/>
  <c r="AN23" i="5"/>
  <c r="AH37" i="5"/>
  <c r="AH36" i="5"/>
  <c r="AH35" i="5"/>
  <c r="AH34" i="5"/>
  <c r="AH33" i="5"/>
  <c r="AH32" i="5"/>
  <c r="AH31" i="5"/>
  <c r="AH30" i="5"/>
  <c r="AH29" i="5"/>
  <c r="AH28" i="5"/>
  <c r="AH27" i="5"/>
  <c r="AH26" i="5"/>
  <c r="AH25" i="5"/>
  <c r="AH24" i="5"/>
  <c r="AH23" i="5"/>
  <c r="AA24" i="5"/>
  <c r="AA25" i="5"/>
  <c r="AA26" i="5"/>
  <c r="AA27" i="5"/>
  <c r="AA28" i="5"/>
  <c r="AA29" i="5"/>
  <c r="AA30" i="5"/>
  <c r="AA31" i="5"/>
  <c r="AA32" i="5"/>
  <c r="AA33" i="5"/>
  <c r="AA34" i="5"/>
  <c r="AA35" i="5"/>
  <c r="AA36" i="5"/>
  <c r="AA37" i="5"/>
  <c r="AA23" i="5"/>
  <c r="AG24" i="5"/>
  <c r="AG25" i="5"/>
  <c r="AG26" i="5"/>
  <c r="AG27" i="5"/>
  <c r="AG28" i="5"/>
  <c r="AG29" i="5"/>
  <c r="AG30" i="5"/>
  <c r="AG31" i="5"/>
  <c r="AG32" i="5"/>
  <c r="AG33" i="5"/>
  <c r="AG34" i="5"/>
  <c r="AG35" i="5"/>
  <c r="AG36" i="5"/>
  <c r="AG37" i="5"/>
  <c r="AG23" i="5"/>
  <c r="T24" i="5"/>
  <c r="T25" i="5"/>
  <c r="T26" i="5"/>
  <c r="T27" i="5"/>
  <c r="T28" i="5"/>
  <c r="T29" i="5"/>
  <c r="T30" i="5"/>
  <c r="T31" i="5"/>
  <c r="T32" i="5"/>
  <c r="T33" i="5"/>
  <c r="T34" i="5"/>
  <c r="T35" i="5"/>
  <c r="T36" i="5"/>
  <c r="T37" i="5"/>
  <c r="T23" i="5"/>
  <c r="Z37" i="5"/>
  <c r="Z36" i="5"/>
  <c r="Z35" i="5"/>
  <c r="Z34" i="5"/>
  <c r="Z33" i="5"/>
  <c r="Z32" i="5"/>
  <c r="Z31" i="5"/>
  <c r="Z30" i="5"/>
  <c r="Z29" i="5"/>
  <c r="Z28" i="5"/>
  <c r="Z27" i="5"/>
  <c r="Z26" i="5"/>
  <c r="Z25" i="5"/>
  <c r="Z24" i="5"/>
  <c r="Z23" i="5"/>
  <c r="S29" i="5"/>
  <c r="AR29" i="4" l="1"/>
  <c r="BK88" i="4"/>
  <c r="BK86" i="4"/>
  <c r="BK80" i="4"/>
  <c r="BK97" i="4"/>
  <c r="AI36" i="5" l="1"/>
  <c r="AJ36" i="5" s="1"/>
  <c r="AI33" i="5"/>
  <c r="AJ33" i="5" s="1"/>
  <c r="AI30" i="5"/>
  <c r="AJ30" i="5" s="1"/>
  <c r="AI27" i="5"/>
  <c r="AJ27" i="5" s="1"/>
  <c r="AI23" i="5"/>
  <c r="AJ23" i="5" s="1"/>
  <c r="AB37" i="5"/>
  <c r="AC37" i="5" s="1"/>
  <c r="AB35" i="5"/>
  <c r="AC35" i="5" s="1"/>
  <c r="AB33" i="5"/>
  <c r="AC33" i="5" s="1"/>
  <c r="AB31" i="5"/>
  <c r="AC31" i="5" s="1"/>
  <c r="AB29" i="5"/>
  <c r="AC29" i="5" s="1"/>
  <c r="AB27" i="5"/>
  <c r="AC27" i="5" s="1"/>
  <c r="AB25" i="5"/>
  <c r="AC25" i="5" s="1"/>
  <c r="AB23" i="5"/>
  <c r="AC23" i="5" s="1"/>
  <c r="AI37" i="5"/>
  <c r="AJ37" i="5" s="1"/>
  <c r="AI28" i="5"/>
  <c r="AJ28" i="5" s="1"/>
  <c r="AI32" i="5"/>
  <c r="AJ32" i="5" s="1"/>
  <c r="AI26" i="5"/>
  <c r="AJ26" i="5" s="1"/>
  <c r="AI34" i="5"/>
  <c r="AJ34" i="5" s="1"/>
  <c r="AI24" i="5"/>
  <c r="AJ24" i="5" s="1"/>
  <c r="AK24" i="5" s="1"/>
  <c r="AI35" i="5"/>
  <c r="AJ35" i="5" s="1"/>
  <c r="AI29" i="5"/>
  <c r="AJ29" i="5" s="1"/>
  <c r="AG10" i="5" s="1"/>
  <c r="AI25" i="5"/>
  <c r="AJ25" i="5" s="1"/>
  <c r="AB36" i="5"/>
  <c r="AC36" i="5" s="1"/>
  <c r="AB34" i="5"/>
  <c r="AC34" i="5" s="1"/>
  <c r="AB32" i="5"/>
  <c r="AC32" i="5" s="1"/>
  <c r="AB30" i="5"/>
  <c r="AC30" i="5" s="1"/>
  <c r="AB28" i="5"/>
  <c r="AC28" i="5" s="1"/>
  <c r="AB26" i="5"/>
  <c r="AC26" i="5" s="1"/>
  <c r="AB24" i="5"/>
  <c r="AC24" i="5" s="1"/>
  <c r="AI31" i="5"/>
  <c r="AJ31" i="5" s="1"/>
  <c r="AO5" i="5"/>
  <c r="AO9" i="5"/>
  <c r="AO13" i="5"/>
  <c r="AO17" i="5"/>
  <c r="AO6" i="5"/>
  <c r="AO10" i="5"/>
  <c r="AO14" i="5"/>
  <c r="AO18" i="5"/>
  <c r="AO7" i="5"/>
  <c r="AO11" i="5"/>
  <c r="AO15" i="5"/>
  <c r="AO4" i="5"/>
  <c r="AO8" i="5"/>
  <c r="AO12" i="5"/>
  <c r="AO16" i="5"/>
  <c r="AP25" i="5"/>
  <c r="AQ25" i="5" s="1"/>
  <c r="AR25" i="5" s="1"/>
  <c r="AP29" i="5"/>
  <c r="AQ29" i="5" s="1"/>
  <c r="AP33" i="5"/>
  <c r="AQ33" i="5" s="1"/>
  <c r="AR33" i="5" s="1"/>
  <c r="AP37" i="5"/>
  <c r="AQ37" i="5" s="1"/>
  <c r="AR37" i="5" s="1"/>
  <c r="AP26" i="5"/>
  <c r="AQ26" i="5" s="1"/>
  <c r="AP30" i="5"/>
  <c r="AQ30" i="5" s="1"/>
  <c r="AP34" i="5"/>
  <c r="AQ34" i="5" s="1"/>
  <c r="AP23" i="5"/>
  <c r="AQ23" i="5" s="1"/>
  <c r="AR23" i="5" s="1"/>
  <c r="AP27" i="5"/>
  <c r="AQ27" i="5" s="1"/>
  <c r="AP31" i="5"/>
  <c r="AQ31" i="5" s="1"/>
  <c r="AN12" i="5" s="1"/>
  <c r="AP35" i="5"/>
  <c r="AQ35" i="5" s="1"/>
  <c r="AN16" i="5" s="1"/>
  <c r="AP24" i="5"/>
  <c r="AQ24" i="5" s="1"/>
  <c r="AP28" i="5"/>
  <c r="AQ28" i="5" s="1"/>
  <c r="AP32" i="5"/>
  <c r="AQ32" i="5" s="1"/>
  <c r="AN13" i="5" s="1"/>
  <c r="AP36" i="5"/>
  <c r="AQ36" i="5" s="1"/>
  <c r="AK29" i="5"/>
  <c r="AN18" i="5"/>
  <c r="AG5" i="5"/>
  <c r="S24" i="5"/>
  <c r="S25" i="5"/>
  <c r="S26" i="5"/>
  <c r="S27" i="5"/>
  <c r="S28" i="5"/>
  <c r="S30" i="5"/>
  <c r="S31" i="5"/>
  <c r="S32" i="5"/>
  <c r="S33" i="5"/>
  <c r="S34" i="5"/>
  <c r="S35" i="5"/>
  <c r="S36" i="5"/>
  <c r="S37" i="5"/>
  <c r="S23" i="5"/>
  <c r="AR35" i="5" l="1"/>
  <c r="AN14" i="5"/>
  <c r="AP14" i="5" s="1"/>
  <c r="AQ14" i="5" s="1"/>
  <c r="AR31" i="5"/>
  <c r="AR32" i="5"/>
  <c r="AR26" i="5"/>
  <c r="AN7" i="5"/>
  <c r="AP7" i="5" s="1"/>
  <c r="AQ7" i="5" s="1"/>
  <c r="AD30" i="5"/>
  <c r="Z11" i="5"/>
  <c r="AP18" i="5"/>
  <c r="AQ18" i="5" s="1"/>
  <c r="AR24" i="5"/>
  <c r="AN5" i="5"/>
  <c r="AP5" i="5" s="1"/>
  <c r="AQ5" i="5" s="1"/>
  <c r="AD24" i="5"/>
  <c r="Z5" i="5"/>
  <c r="AD32" i="5"/>
  <c r="Z13" i="5"/>
  <c r="Z4" i="5"/>
  <c r="AD23" i="5"/>
  <c r="AD31" i="5"/>
  <c r="Z12" i="5"/>
  <c r="AK23" i="5"/>
  <c r="AG4" i="5"/>
  <c r="AK36" i="5"/>
  <c r="AG17" i="5"/>
  <c r="AN6" i="5"/>
  <c r="AP6" i="5" s="1"/>
  <c r="AQ6" i="5" s="1"/>
  <c r="AN4" i="5"/>
  <c r="AP4" i="5" s="1"/>
  <c r="AQ4" i="5" s="1"/>
  <c r="AR36" i="5"/>
  <c r="AN17" i="5"/>
  <c r="AP17" i="5" s="1"/>
  <c r="AQ17" i="5" s="1"/>
  <c r="AP16" i="5"/>
  <c r="AQ16" i="5" s="1"/>
  <c r="AR34" i="5"/>
  <c r="AN15" i="5"/>
  <c r="AP15" i="5" s="1"/>
  <c r="AQ15" i="5" s="1"/>
  <c r="AD26" i="5"/>
  <c r="Z7" i="5"/>
  <c r="AD34" i="5"/>
  <c r="Z15" i="5"/>
  <c r="AK35" i="5"/>
  <c r="AG16" i="5"/>
  <c r="AG13" i="5"/>
  <c r="AK32" i="5"/>
  <c r="AD25" i="5"/>
  <c r="Z6" i="5"/>
  <c r="AD33" i="5"/>
  <c r="Z14" i="5"/>
  <c r="AK27" i="5"/>
  <c r="AG8" i="5"/>
  <c r="AP13" i="5"/>
  <c r="AQ13" i="5" s="1"/>
  <c r="AP12" i="5"/>
  <c r="AQ12" i="5" s="1"/>
  <c r="AN11" i="5"/>
  <c r="AP11" i="5" s="1"/>
  <c r="AQ11" i="5" s="1"/>
  <c r="AR30" i="5"/>
  <c r="AN10" i="5"/>
  <c r="AP10" i="5" s="1"/>
  <c r="AQ10" i="5" s="1"/>
  <c r="AR29" i="5"/>
  <c r="AD28" i="5"/>
  <c r="Z9" i="5"/>
  <c r="AD36" i="5"/>
  <c r="Z17" i="5"/>
  <c r="AK28" i="5"/>
  <c r="AG9" i="5"/>
  <c r="Z8" i="5"/>
  <c r="AD27" i="5"/>
  <c r="Z16" i="5"/>
  <c r="AD35" i="5"/>
  <c r="AK30" i="5"/>
  <c r="AG11" i="5"/>
  <c r="AR27" i="5"/>
  <c r="AN8" i="5"/>
  <c r="AP8" i="5" s="1"/>
  <c r="AQ8" i="5" s="1"/>
  <c r="AK31" i="5"/>
  <c r="AG12" i="5"/>
  <c r="AK25" i="5"/>
  <c r="AG6" i="5"/>
  <c r="AG15" i="5"/>
  <c r="AK34" i="5"/>
  <c r="AK37" i="5"/>
  <c r="AG18" i="5"/>
  <c r="AD29" i="5"/>
  <c r="Z10" i="5"/>
  <c r="AD37" i="5"/>
  <c r="Z18" i="5"/>
  <c r="AK33" i="5"/>
  <c r="AG14" i="5"/>
  <c r="AN9" i="5"/>
  <c r="AP9" i="5" s="1"/>
  <c r="AQ9" i="5" s="1"/>
  <c r="AR28" i="5"/>
  <c r="AK26" i="5"/>
  <c r="AG7" i="5"/>
  <c r="AJ29" i="4"/>
  <c r="BK72" i="4"/>
  <c r="BK78" i="4"/>
  <c r="AH6" i="5" l="1"/>
  <c r="AH10" i="5"/>
  <c r="AI10" i="5" s="1"/>
  <c r="AJ10" i="5" s="1"/>
  <c r="AH14" i="5"/>
  <c r="AI14" i="5" s="1"/>
  <c r="AJ14" i="5" s="1"/>
  <c r="AH18" i="5"/>
  <c r="AI18" i="5" s="1"/>
  <c r="AJ18" i="5" s="1"/>
  <c r="AA8" i="5"/>
  <c r="AB8" i="5" s="1"/>
  <c r="AC8" i="5" s="1"/>
  <c r="AA12" i="5"/>
  <c r="AB12" i="5" s="1"/>
  <c r="AC12" i="5" s="1"/>
  <c r="AA16" i="5"/>
  <c r="AB16" i="5" s="1"/>
  <c r="AC16" i="5" s="1"/>
  <c r="AA9" i="5"/>
  <c r="AA17" i="5"/>
  <c r="AB17" i="5" s="1"/>
  <c r="AC17" i="5" s="1"/>
  <c r="AH5" i="5"/>
  <c r="AI5" i="5" s="1"/>
  <c r="AJ5" i="5" s="1"/>
  <c r="AH17" i="5"/>
  <c r="AI17" i="5" s="1"/>
  <c r="AJ17" i="5" s="1"/>
  <c r="AA11" i="5"/>
  <c r="AB11" i="5" s="1"/>
  <c r="AC11" i="5" s="1"/>
  <c r="AH7" i="5"/>
  <c r="AI7" i="5" s="1"/>
  <c r="AJ7" i="5" s="1"/>
  <c r="AH11" i="5"/>
  <c r="AI11" i="5" s="1"/>
  <c r="AJ11" i="5" s="1"/>
  <c r="AH15" i="5"/>
  <c r="AH4" i="5"/>
  <c r="AA5" i="5"/>
  <c r="AB5" i="5" s="1"/>
  <c r="AC5" i="5" s="1"/>
  <c r="AA13" i="5"/>
  <c r="AB13" i="5" s="1"/>
  <c r="AC13" i="5" s="1"/>
  <c r="AH13" i="5"/>
  <c r="AI13" i="5" s="1"/>
  <c r="AJ13" i="5" s="1"/>
  <c r="AA15" i="5"/>
  <c r="AB15" i="5" s="1"/>
  <c r="AC15" i="5" s="1"/>
  <c r="AH8" i="5"/>
  <c r="AI8" i="5" s="1"/>
  <c r="AJ8" i="5" s="1"/>
  <c r="AH12" i="5"/>
  <c r="AI12" i="5" s="1"/>
  <c r="AJ12" i="5" s="1"/>
  <c r="AH16" i="5"/>
  <c r="AI16" i="5" s="1"/>
  <c r="AJ16" i="5" s="1"/>
  <c r="AA6" i="5"/>
  <c r="AB6" i="5" s="1"/>
  <c r="AC6" i="5" s="1"/>
  <c r="AA10" i="5"/>
  <c r="AB10" i="5" s="1"/>
  <c r="AC10" i="5" s="1"/>
  <c r="AA14" i="5"/>
  <c r="AB14" i="5" s="1"/>
  <c r="AC14" i="5" s="1"/>
  <c r="AA18" i="5"/>
  <c r="AB18" i="5" s="1"/>
  <c r="AC18" i="5" s="1"/>
  <c r="AH9" i="5"/>
  <c r="AA7" i="5"/>
  <c r="AA4" i="5"/>
  <c r="AB4" i="5" s="1"/>
  <c r="AC4" i="5" s="1"/>
  <c r="AI15" i="5"/>
  <c r="AJ15" i="5" s="1"/>
  <c r="AI4" i="5"/>
  <c r="AJ4" i="5" s="1"/>
  <c r="AI6" i="5"/>
  <c r="AJ6" i="5" s="1"/>
  <c r="AI9" i="5"/>
  <c r="AJ9" i="5" s="1"/>
  <c r="AB9" i="5"/>
  <c r="AC9" i="5" s="1"/>
  <c r="AB7" i="5"/>
  <c r="AC7" i="5" s="1"/>
  <c r="U25" i="5"/>
  <c r="V25" i="5" s="1"/>
  <c r="U29" i="5"/>
  <c r="V29" i="5" s="1"/>
  <c r="U33" i="5"/>
  <c r="V33" i="5" s="1"/>
  <c r="U37" i="5"/>
  <c r="V37" i="5" s="1"/>
  <c r="U26" i="5"/>
  <c r="V26" i="5" s="1"/>
  <c r="U30" i="5"/>
  <c r="V30" i="5" s="1"/>
  <c r="U34" i="5"/>
  <c r="V34" i="5" s="1"/>
  <c r="U23" i="5"/>
  <c r="V23" i="5" s="1"/>
  <c r="U27" i="5"/>
  <c r="V27" i="5" s="1"/>
  <c r="U31" i="5"/>
  <c r="V31" i="5" s="1"/>
  <c r="U35" i="5"/>
  <c r="V35" i="5" s="1"/>
  <c r="U24" i="5"/>
  <c r="V24" i="5" s="1"/>
  <c r="S5" i="5" s="1"/>
  <c r="U28" i="5"/>
  <c r="V28" i="5" s="1"/>
  <c r="U32" i="5"/>
  <c r="V32" i="5" s="1"/>
  <c r="U36" i="5"/>
  <c r="V36" i="5" s="1"/>
  <c r="M24" i="5"/>
  <c r="M25" i="5"/>
  <c r="M26" i="5"/>
  <c r="M27" i="5"/>
  <c r="M28" i="5"/>
  <c r="M29" i="5"/>
  <c r="M30" i="5"/>
  <c r="M31" i="5"/>
  <c r="M32" i="5"/>
  <c r="M33" i="5"/>
  <c r="M34" i="5"/>
  <c r="M35" i="5"/>
  <c r="M36" i="5"/>
  <c r="M37" i="5"/>
  <c r="M23" i="5"/>
  <c r="L24" i="5"/>
  <c r="L25" i="5"/>
  <c r="L26" i="5"/>
  <c r="L27" i="5"/>
  <c r="L28" i="5"/>
  <c r="L29" i="5"/>
  <c r="L30" i="5"/>
  <c r="L31" i="5"/>
  <c r="L32" i="5"/>
  <c r="L33" i="5"/>
  <c r="L34" i="5"/>
  <c r="L35" i="5"/>
  <c r="L36" i="5"/>
  <c r="L37" i="5"/>
  <c r="L23" i="5"/>
  <c r="D24" i="5"/>
  <c r="D25" i="5"/>
  <c r="D26" i="5"/>
  <c r="D27" i="5"/>
  <c r="D28" i="5"/>
  <c r="D29" i="5"/>
  <c r="D30" i="5"/>
  <c r="D31" i="5"/>
  <c r="D32" i="5"/>
  <c r="D33" i="5"/>
  <c r="D34" i="5"/>
  <c r="D35" i="5"/>
  <c r="D36" i="5"/>
  <c r="D37" i="5"/>
  <c r="D23" i="5"/>
  <c r="C24" i="5"/>
  <c r="C25" i="5"/>
  <c r="C26" i="5"/>
  <c r="C27" i="5"/>
  <c r="C28" i="5"/>
  <c r="C29" i="5"/>
  <c r="C30" i="5"/>
  <c r="C31" i="5"/>
  <c r="C32" i="5"/>
  <c r="C33" i="5"/>
  <c r="C34" i="5"/>
  <c r="C35" i="5"/>
  <c r="C36" i="5"/>
  <c r="C37" i="5"/>
  <c r="C23" i="5"/>
  <c r="S9" i="5" l="1"/>
  <c r="W28" i="5"/>
  <c r="W25" i="5"/>
  <c r="S6" i="5"/>
  <c r="W24" i="5"/>
  <c r="S4" i="5"/>
  <c r="W23" i="5"/>
  <c r="W37" i="5"/>
  <c r="S18" i="5"/>
  <c r="W26" i="5"/>
  <c r="S7" i="5"/>
  <c r="W36" i="5"/>
  <c r="S17" i="5"/>
  <c r="S16" i="5"/>
  <c r="W35" i="5"/>
  <c r="W34" i="5"/>
  <c r="S15" i="5"/>
  <c r="W33" i="5"/>
  <c r="S14" i="5"/>
  <c r="S8" i="5"/>
  <c r="W27" i="5"/>
  <c r="S13" i="5"/>
  <c r="W32" i="5"/>
  <c r="S12" i="5"/>
  <c r="W31" i="5"/>
  <c r="S11" i="5"/>
  <c r="W30" i="5"/>
  <c r="W29" i="5"/>
  <c r="S10" i="5"/>
  <c r="AC29" i="4"/>
  <c r="BK93" i="4" l="1"/>
  <c r="T5" i="5" l="1"/>
  <c r="U5" i="5" s="1"/>
  <c r="V5" i="5" s="1"/>
  <c r="T6" i="5"/>
  <c r="U6" i="5" s="1"/>
  <c r="V6" i="5" s="1"/>
  <c r="T7" i="5"/>
  <c r="U7" i="5" s="1"/>
  <c r="V7" i="5" s="1"/>
  <c r="T8" i="5"/>
  <c r="U8" i="5" s="1"/>
  <c r="V8" i="5" s="1"/>
  <c r="T4" i="5"/>
  <c r="U4" i="5" s="1"/>
  <c r="V4" i="5" s="1"/>
  <c r="T9" i="5"/>
  <c r="U9" i="5" s="1"/>
  <c r="V9" i="5" s="1"/>
  <c r="T10" i="5"/>
  <c r="U10" i="5" s="1"/>
  <c r="V10" i="5" s="1"/>
  <c r="T11" i="5"/>
  <c r="U11" i="5" s="1"/>
  <c r="V11" i="5" s="1"/>
  <c r="T12" i="5"/>
  <c r="U12" i="5" s="1"/>
  <c r="V12" i="5" s="1"/>
  <c r="T18" i="5"/>
  <c r="U18" i="5" s="1"/>
  <c r="V18" i="5" s="1"/>
  <c r="T13" i="5"/>
  <c r="U13" i="5" s="1"/>
  <c r="V13" i="5" s="1"/>
  <c r="T14" i="5"/>
  <c r="U14" i="5" s="1"/>
  <c r="V14" i="5" s="1"/>
  <c r="T15" i="5"/>
  <c r="U15" i="5" s="1"/>
  <c r="V15" i="5" s="1"/>
  <c r="T16" i="5"/>
  <c r="U16" i="5" s="1"/>
  <c r="V16" i="5" s="1"/>
  <c r="T17" i="5"/>
  <c r="U17" i="5" s="1"/>
  <c r="V17" i="5" s="1"/>
  <c r="V29" i="4"/>
  <c r="E16" i="4" l="1"/>
  <c r="BK105" i="4"/>
  <c r="BK104" i="4"/>
  <c r="BK103" i="4"/>
  <c r="BK70" i="4"/>
  <c r="BK65" i="4"/>
  <c r="BK62" i="4"/>
  <c r="BJ54" i="4"/>
  <c r="BJ53" i="4"/>
  <c r="BJ52" i="4"/>
  <c r="BK46" i="4"/>
  <c r="BK45" i="4"/>
  <c r="BK44" i="4"/>
  <c r="BK38" i="4"/>
  <c r="BK37" i="4"/>
  <c r="BK36" i="4"/>
  <c r="BK30" i="4"/>
  <c r="BK29" i="4"/>
  <c r="BK28" i="4"/>
  <c r="E21" i="4"/>
  <c r="E39" i="4" s="1"/>
  <c r="F19" i="4"/>
  <c r="N26" i="5" l="1"/>
  <c r="O26" i="5" s="1"/>
  <c r="N30" i="5"/>
  <c r="O30" i="5" s="1"/>
  <c r="N34" i="5"/>
  <c r="O34" i="5" s="1"/>
  <c r="N23" i="5"/>
  <c r="O23" i="5" s="1"/>
  <c r="N33" i="5"/>
  <c r="O33" i="5" s="1"/>
  <c r="N27" i="5"/>
  <c r="O27" i="5" s="1"/>
  <c r="N31" i="5"/>
  <c r="O31" i="5" s="1"/>
  <c r="N35" i="5"/>
  <c r="O35" i="5" s="1"/>
  <c r="N25" i="5"/>
  <c r="O25" i="5" s="1"/>
  <c r="N37" i="5"/>
  <c r="O37" i="5" s="1"/>
  <c r="N24" i="5"/>
  <c r="O24" i="5" s="1"/>
  <c r="N28" i="5"/>
  <c r="O28" i="5" s="1"/>
  <c r="N32" i="5"/>
  <c r="O32" i="5" s="1"/>
  <c r="N36" i="5"/>
  <c r="O36" i="5" s="1"/>
  <c r="N29" i="5"/>
  <c r="O29" i="5" s="1"/>
  <c r="M7" i="5"/>
  <c r="M11" i="5"/>
  <c r="M15" i="5"/>
  <c r="M4" i="5"/>
  <c r="M14" i="5"/>
  <c r="M8" i="5"/>
  <c r="M12" i="5"/>
  <c r="M16" i="5"/>
  <c r="M10" i="5"/>
  <c r="M5" i="5"/>
  <c r="M9" i="5"/>
  <c r="M13" i="5"/>
  <c r="M17" i="5"/>
  <c r="M6" i="5"/>
  <c r="M18" i="5"/>
  <c r="E25" i="5"/>
  <c r="F25" i="5" s="1"/>
  <c r="E29" i="5"/>
  <c r="F29" i="5" s="1"/>
  <c r="E33" i="5"/>
  <c r="F33" i="5" s="1"/>
  <c r="E37" i="5"/>
  <c r="F37" i="5" s="1"/>
  <c r="E28" i="5"/>
  <c r="F28" i="5" s="1"/>
  <c r="E36" i="5"/>
  <c r="F36" i="5" s="1"/>
  <c r="E26" i="5"/>
  <c r="F26" i="5" s="1"/>
  <c r="E30" i="5"/>
  <c r="F30" i="5" s="1"/>
  <c r="E34" i="5"/>
  <c r="F34" i="5" s="1"/>
  <c r="E23" i="5"/>
  <c r="F23" i="5" s="1"/>
  <c r="E32" i="5"/>
  <c r="F32" i="5" s="1"/>
  <c r="E27" i="5"/>
  <c r="F27" i="5" s="1"/>
  <c r="E31" i="5"/>
  <c r="F31" i="5" s="1"/>
  <c r="E35" i="5"/>
  <c r="F35" i="5" s="1"/>
  <c r="E24" i="5"/>
  <c r="F24" i="5" s="1"/>
  <c r="D6" i="5"/>
  <c r="D10" i="5"/>
  <c r="D14" i="5"/>
  <c r="D18" i="5"/>
  <c r="D13" i="5"/>
  <c r="D7" i="5"/>
  <c r="D11" i="5"/>
  <c r="D15" i="5"/>
  <c r="D4" i="5"/>
  <c r="D5" i="5"/>
  <c r="D17" i="5"/>
  <c r="D8" i="5"/>
  <c r="D12" i="5"/>
  <c r="D16" i="5"/>
  <c r="D9" i="5"/>
  <c r="G32" i="4"/>
  <c r="F16" i="4"/>
  <c r="F17" i="4" s="1"/>
  <c r="G20" i="4"/>
  <c r="G25" i="4"/>
  <c r="E17" i="4"/>
  <c r="F18" i="4"/>
  <c r="F21" i="4" s="1"/>
  <c r="F39" i="4" s="1"/>
  <c r="G27" i="4"/>
  <c r="G24" i="4"/>
  <c r="G26" i="4"/>
  <c r="P29" i="5" l="1"/>
  <c r="L10" i="5"/>
  <c r="N10" i="5" s="1"/>
  <c r="O10" i="5" s="1"/>
  <c r="L12" i="5"/>
  <c r="N12" i="5" s="1"/>
  <c r="O12" i="5" s="1"/>
  <c r="P31" i="5"/>
  <c r="P36" i="5"/>
  <c r="L17" i="5"/>
  <c r="N17" i="5" s="1"/>
  <c r="O17" i="5" s="1"/>
  <c r="P37" i="5"/>
  <c r="L18" i="5"/>
  <c r="N18" i="5" s="1"/>
  <c r="O18" i="5" s="1"/>
  <c r="L8" i="5"/>
  <c r="N8" i="5" s="1"/>
  <c r="O8" i="5" s="1"/>
  <c r="P27" i="5"/>
  <c r="L11" i="5"/>
  <c r="N11" i="5" s="1"/>
  <c r="O11" i="5" s="1"/>
  <c r="P30" i="5"/>
  <c r="P28" i="5"/>
  <c r="L9" i="5"/>
  <c r="N9" i="5" s="1"/>
  <c r="O9" i="5" s="1"/>
  <c r="L16" i="5"/>
  <c r="N16" i="5" s="1"/>
  <c r="O16" i="5" s="1"/>
  <c r="P35" i="5"/>
  <c r="L4" i="5"/>
  <c r="N4" i="5" s="1"/>
  <c r="O4" i="5" s="1"/>
  <c r="P23" i="5"/>
  <c r="P24" i="5"/>
  <c r="L5" i="5"/>
  <c r="N5" i="5" s="1"/>
  <c r="O5" i="5" s="1"/>
  <c r="P34" i="5"/>
  <c r="L15" i="5"/>
  <c r="N15" i="5" s="1"/>
  <c r="O15" i="5" s="1"/>
  <c r="P32" i="5"/>
  <c r="L13" i="5"/>
  <c r="N13" i="5" s="1"/>
  <c r="O13" i="5" s="1"/>
  <c r="P25" i="5"/>
  <c r="L6" i="5"/>
  <c r="N6" i="5" s="1"/>
  <c r="O6" i="5" s="1"/>
  <c r="P33" i="5"/>
  <c r="L14" i="5"/>
  <c r="N14" i="5" s="1"/>
  <c r="O14" i="5" s="1"/>
  <c r="L7" i="5"/>
  <c r="N7" i="5" s="1"/>
  <c r="O7" i="5" s="1"/>
  <c r="P26" i="5"/>
  <c r="G31" i="5"/>
  <c r="C12" i="5"/>
  <c r="E12" i="5" s="1"/>
  <c r="F12" i="5" s="1"/>
  <c r="G27" i="5"/>
  <c r="C8" i="5"/>
  <c r="E8" i="5" s="1"/>
  <c r="F8" i="5" s="1"/>
  <c r="C15" i="5"/>
  <c r="G34" i="5"/>
  <c r="G36" i="5"/>
  <c r="C17" i="5"/>
  <c r="E17" i="5" s="1"/>
  <c r="F17" i="5" s="1"/>
  <c r="C10" i="5"/>
  <c r="E10" i="5" s="1"/>
  <c r="F10" i="5" s="1"/>
  <c r="G29" i="5"/>
  <c r="G33" i="5"/>
  <c r="C14" i="5"/>
  <c r="E15" i="5"/>
  <c r="F15" i="5" s="1"/>
  <c r="G24" i="5"/>
  <c r="C5" i="5"/>
  <c r="E5" i="5" s="1"/>
  <c r="F5" i="5" s="1"/>
  <c r="C11" i="5"/>
  <c r="E11" i="5" s="1"/>
  <c r="F11" i="5" s="1"/>
  <c r="G30" i="5"/>
  <c r="G28" i="5"/>
  <c r="C9" i="5"/>
  <c r="E9" i="5" s="1"/>
  <c r="F9" i="5" s="1"/>
  <c r="G25" i="5"/>
  <c r="C6" i="5"/>
  <c r="E6" i="5" s="1"/>
  <c r="F6" i="5" s="1"/>
  <c r="C4" i="5"/>
  <c r="E4" i="5" s="1"/>
  <c r="F4" i="5" s="1"/>
  <c r="G23" i="5"/>
  <c r="E14" i="5"/>
  <c r="F14" i="5" s="1"/>
  <c r="G35" i="5"/>
  <c r="C16" i="5"/>
  <c r="E16" i="5" s="1"/>
  <c r="F16" i="5" s="1"/>
  <c r="G32" i="5"/>
  <c r="C13" i="5"/>
  <c r="E13" i="5" s="1"/>
  <c r="F13" i="5" s="1"/>
  <c r="C7" i="5"/>
  <c r="E7" i="5" s="1"/>
  <c r="F7" i="5" s="1"/>
  <c r="G26" i="5"/>
  <c r="C18" i="5"/>
  <c r="E18" i="5" s="1"/>
  <c r="F18" i="5" s="1"/>
  <c r="G37" i="5"/>
  <c r="G16" i="4"/>
  <c r="I20" i="4" s="1"/>
  <c r="H27" i="4"/>
  <c r="H32" i="4"/>
  <c r="H26" i="4"/>
  <c r="H24" i="4"/>
  <c r="G18" i="4"/>
  <c r="H19" i="4" s="1"/>
  <c r="H25" i="4"/>
  <c r="H20" i="4"/>
  <c r="G19" i="4"/>
  <c r="G33" i="4"/>
  <c r="H33" i="4" l="1"/>
  <c r="H35" i="4" s="1"/>
  <c r="G21" i="4"/>
  <c r="G39" i="4" s="1"/>
  <c r="I25" i="4"/>
  <c r="G17" i="4"/>
  <c r="I24" i="4"/>
  <c r="I26" i="4"/>
  <c r="I27" i="4"/>
  <c r="H16" i="4"/>
  <c r="J20" i="4" s="1"/>
  <c r="I32" i="4"/>
  <c r="H18" i="4"/>
  <c r="I19" i="4" s="1"/>
  <c r="I33" i="4" l="1"/>
  <c r="I35" i="4" s="1"/>
  <c r="H21" i="4"/>
  <c r="H39" i="4" s="1"/>
  <c r="I16" i="4"/>
  <c r="K32" i="4" s="1"/>
  <c r="H17" i="4"/>
  <c r="J24" i="4"/>
  <c r="J26" i="4"/>
  <c r="I18" i="4"/>
  <c r="J19" i="4" s="1"/>
  <c r="J32" i="4"/>
  <c r="J25" i="4"/>
  <c r="J27" i="4"/>
  <c r="I17" i="4" l="1"/>
  <c r="K25" i="4"/>
  <c r="K27" i="4"/>
  <c r="K26" i="4"/>
  <c r="J16" i="4"/>
  <c r="K24" i="4"/>
  <c r="K20" i="4"/>
  <c r="J18" i="4"/>
  <c r="K19" i="4" s="1"/>
  <c r="J33" i="4"/>
  <c r="J35" i="4" s="1"/>
  <c r="I21" i="4"/>
  <c r="I39" i="4" s="1"/>
  <c r="J17" i="4" l="1"/>
  <c r="L32" i="4"/>
  <c r="J21" i="4"/>
  <c r="J39" i="4" s="1"/>
  <c r="L26" i="4"/>
  <c r="K33" i="4"/>
  <c r="K35" i="4" s="1"/>
  <c r="L20" i="4"/>
  <c r="K16" i="4"/>
  <c r="M20" i="4" s="1"/>
  <c r="K18" i="4"/>
  <c r="L19" i="4" s="1"/>
  <c r="L24" i="4"/>
  <c r="L25" i="4"/>
  <c r="L27" i="4"/>
  <c r="M32" i="4" l="1"/>
  <c r="K21" i="4"/>
  <c r="K39" i="4" s="1"/>
  <c r="M25" i="4"/>
  <c r="L16" i="4"/>
  <c r="M18" i="4" s="1"/>
  <c r="M26" i="4"/>
  <c r="K17" i="4"/>
  <c r="L18" i="4"/>
  <c r="M19" i="4" s="1"/>
  <c r="M27" i="4"/>
  <c r="M24" i="4"/>
  <c r="L33" i="4"/>
  <c r="L35" i="4" s="1"/>
  <c r="M21" i="4" l="1"/>
  <c r="N24" i="4"/>
  <c r="N32" i="4"/>
  <c r="L17" i="4"/>
  <c r="N19" i="4"/>
  <c r="N25" i="4"/>
  <c r="N27" i="4"/>
  <c r="M16" i="4"/>
  <c r="N26" i="4"/>
  <c r="L21" i="4"/>
  <c r="L39" i="4" s="1"/>
  <c r="M33" i="4"/>
  <c r="M35" i="4" s="1"/>
  <c r="M17" i="4" l="1"/>
  <c r="N16" i="4"/>
  <c r="O26" i="4"/>
  <c r="O32" i="4"/>
  <c r="N33" i="4"/>
  <c r="O27" i="4"/>
  <c r="O25" i="4"/>
  <c r="O24" i="4"/>
  <c r="M39" i="4"/>
  <c r="N18" i="4" l="1"/>
  <c r="O19" i="4" s="1"/>
  <c r="N35" i="4"/>
  <c r="N17" i="4"/>
  <c r="P32" i="4"/>
  <c r="P26" i="4"/>
  <c r="P27" i="4"/>
  <c r="P24" i="4"/>
  <c r="O33" i="4"/>
  <c r="O35" i="4" s="1"/>
  <c r="O18" i="4" s="1"/>
  <c r="P19" i="4" s="1"/>
  <c r="O16" i="4"/>
  <c r="N20" i="4"/>
  <c r="P25" i="4"/>
  <c r="N21" i="4" l="1"/>
  <c r="N39" i="4" s="1"/>
  <c r="Q26" i="4"/>
  <c r="Q32" i="4"/>
  <c r="Q25" i="4"/>
  <c r="P33" i="4"/>
  <c r="P35" i="4" s="1"/>
  <c r="P20" i="4" s="1"/>
  <c r="O17" i="4"/>
  <c r="Q27" i="4"/>
  <c r="Q24" i="4"/>
  <c r="O20" i="4"/>
  <c r="O21" i="4" s="1"/>
  <c r="O39" i="4" s="1"/>
  <c r="P16" i="4"/>
  <c r="R32" i="4" s="1"/>
  <c r="Q33" i="4" l="1"/>
  <c r="Q35" i="4" s="1"/>
  <c r="P18" i="4"/>
  <c r="Q19" i="4" s="1"/>
  <c r="R28" i="4"/>
  <c r="R25" i="4"/>
  <c r="P17" i="4"/>
  <c r="R24" i="4"/>
  <c r="Q16" i="4"/>
  <c r="S32" i="4" s="1"/>
  <c r="R33" i="4" l="1"/>
  <c r="R35" i="4" s="1"/>
  <c r="Q20" i="4"/>
  <c r="P21" i="4"/>
  <c r="P39" i="4" s="1"/>
  <c r="Q17" i="4"/>
  <c r="S28" i="4"/>
  <c r="Q18" i="4"/>
  <c r="R19" i="4" s="1"/>
  <c r="S24" i="4"/>
  <c r="R16" i="4"/>
  <c r="S25" i="4" l="1"/>
  <c r="S33" i="4" s="1"/>
  <c r="S35" i="4" s="1"/>
  <c r="T32" i="4"/>
  <c r="Q21" i="4"/>
  <c r="Q39" i="4" s="1"/>
  <c r="T24" i="4"/>
  <c r="S16" i="4"/>
  <c r="R17" i="4"/>
  <c r="T28" i="4"/>
  <c r="U32" i="4" l="1"/>
  <c r="T16" i="4"/>
  <c r="V24" i="4" s="1"/>
  <c r="R18" i="4"/>
  <c r="S19" i="4" s="1"/>
  <c r="R20" i="4"/>
  <c r="S20" i="4"/>
  <c r="T25" i="4"/>
  <c r="T33" i="4" s="1"/>
  <c r="T35" i="4" s="1"/>
  <c r="T18" i="4" s="1"/>
  <c r="U19" i="4" s="1"/>
  <c r="U28" i="4"/>
  <c r="U24" i="4"/>
  <c r="S17" i="4"/>
  <c r="V20" i="4" l="1"/>
  <c r="U18" i="4"/>
  <c r="V19" i="4" s="1"/>
  <c r="R21" i="4"/>
  <c r="R39" i="4" s="1"/>
  <c r="S18" i="4"/>
  <c r="T19" i="4" s="1"/>
  <c r="T17" i="4"/>
  <c r="U16" i="4"/>
  <c r="W24" i="4" s="1"/>
  <c r="U25" i="4"/>
  <c r="V28" i="4"/>
  <c r="V32" i="4"/>
  <c r="T20" i="4"/>
  <c r="U33" i="4" l="1"/>
  <c r="U35" i="4" s="1"/>
  <c r="T21" i="4"/>
  <c r="T39" i="4" s="1"/>
  <c r="S21" i="4"/>
  <c r="S39" i="4" s="1"/>
  <c r="U17" i="4"/>
  <c r="W32" i="4"/>
  <c r="V16" i="4"/>
  <c r="X24" i="4" s="1"/>
  <c r="W28" i="4"/>
  <c r="V25" i="4"/>
  <c r="U20" i="4"/>
  <c r="U21" i="4" s="1"/>
  <c r="U39" i="4" s="1"/>
  <c r="V17" i="4" l="1"/>
  <c r="X32" i="4"/>
  <c r="X28" i="4"/>
  <c r="W25" i="4"/>
  <c r="W33" i="4" s="1"/>
  <c r="W16" i="4"/>
  <c r="Y24" i="4" l="1"/>
  <c r="Y32" i="4"/>
  <c r="X25" i="4"/>
  <c r="X33" i="4" s="1"/>
  <c r="X35" i="4" s="1"/>
  <c r="Y28" i="4"/>
  <c r="X16" i="4"/>
  <c r="Z32" i="4" s="1"/>
  <c r="W17" i="4"/>
  <c r="Z24" i="4" l="1"/>
  <c r="Z28" i="4"/>
  <c r="X17" i="4"/>
  <c r="Y25" i="4"/>
  <c r="Y16" i="4"/>
  <c r="V33" i="4"/>
  <c r="W35" i="4" s="1"/>
  <c r="AA28" i="4" l="1"/>
  <c r="AA24" i="4"/>
  <c r="Y33" i="4"/>
  <c r="Y35" i="4" s="1"/>
  <c r="AA32" i="4"/>
  <c r="Y17" i="4"/>
  <c r="Z25" i="4"/>
  <c r="Z33" i="4" s="1"/>
  <c r="Z16" i="4"/>
  <c r="V35" i="4"/>
  <c r="Z35" i="4" l="1"/>
  <c r="AB28" i="4"/>
  <c r="AB24" i="4"/>
  <c r="AB32" i="4"/>
  <c r="Z17" i="4"/>
  <c r="AA16" i="4"/>
  <c r="AA25" i="4"/>
  <c r="AA33" i="4" s="1"/>
  <c r="AA35" i="4" s="1"/>
  <c r="V18" i="4"/>
  <c r="W19" i="4" s="1"/>
  <c r="AC24" i="4" l="1"/>
  <c r="AC28" i="4"/>
  <c r="AB16" i="4"/>
  <c r="AC32" i="4"/>
  <c r="AA17" i="4"/>
  <c r="AB25" i="4"/>
  <c r="AB33" i="4" s="1"/>
  <c r="AB35" i="4" s="1"/>
  <c r="V21" i="4"/>
  <c r="V39" i="4" s="1"/>
  <c r="W18" i="4"/>
  <c r="X19" i="4" s="1"/>
  <c r="W20" i="4"/>
  <c r="X18" i="4"/>
  <c r="Y19" i="4" s="1"/>
  <c r="AD24" i="4" l="1"/>
  <c r="AD28" i="4"/>
  <c r="AC16" i="4"/>
  <c r="AE20" i="4" s="1"/>
  <c r="AC25" i="4"/>
  <c r="AC33" i="4" s="1"/>
  <c r="AC35" i="4" s="1"/>
  <c r="AB17" i="4"/>
  <c r="AD32" i="4"/>
  <c r="W21" i="4"/>
  <c r="W39" i="4" s="1"/>
  <c r="X20" i="4"/>
  <c r="AE32" i="4" l="1"/>
  <c r="AE24" i="4"/>
  <c r="AE28" i="4"/>
  <c r="AD16" i="4"/>
  <c r="AE18" i="4" s="1"/>
  <c r="AC17" i="4"/>
  <c r="AD25" i="4"/>
  <c r="AD33" i="4" s="1"/>
  <c r="Y20" i="4"/>
  <c r="Y18" i="4"/>
  <c r="Z19" i="4" s="1"/>
  <c r="X21" i="4"/>
  <c r="AF32" i="4" l="1"/>
  <c r="AF24" i="4"/>
  <c r="AF28" i="4"/>
  <c r="AD35" i="4"/>
  <c r="X39" i="4"/>
  <c r="AE25" i="4"/>
  <c r="AE33" i="4" s="1"/>
  <c r="AE35" i="4" s="1"/>
  <c r="AE16" i="4"/>
  <c r="AE17" i="4" s="1"/>
  <c r="AD17" i="4"/>
  <c r="Z20" i="4"/>
  <c r="Z18" i="4"/>
  <c r="AA19" i="4" s="1"/>
  <c r="Y21" i="4"/>
  <c r="Y39" i="4" s="1"/>
  <c r="AG32" i="4" l="1"/>
  <c r="AF18" i="4"/>
  <c r="AG24" i="4"/>
  <c r="AG28" i="4"/>
  <c r="AF16" i="4"/>
  <c r="AH32" i="4" s="1"/>
  <c r="AF25" i="4"/>
  <c r="AF33" i="4" s="1"/>
  <c r="AF35" i="4" s="1"/>
  <c r="AA20" i="4"/>
  <c r="AA18" i="4"/>
  <c r="AB19" i="4" s="1"/>
  <c r="Z21" i="4"/>
  <c r="Z39" i="4" s="1"/>
  <c r="AH24" i="4" l="1"/>
  <c r="AH28" i="4"/>
  <c r="AG16" i="4"/>
  <c r="AG25" i="4"/>
  <c r="AG33" i="4" s="1"/>
  <c r="AG35" i="4" s="1"/>
  <c r="AF17" i="4"/>
  <c r="AA21" i="4"/>
  <c r="AA39" i="4" s="1"/>
  <c r="AB20" i="4"/>
  <c r="AB18" i="4"/>
  <c r="AC19" i="4" s="1"/>
  <c r="AI32" i="4" l="1"/>
  <c r="AH25" i="4"/>
  <c r="AH33" i="4" s="1"/>
  <c r="AH35" i="4" s="1"/>
  <c r="AI24" i="4"/>
  <c r="AI28" i="4"/>
  <c r="AH16" i="4"/>
  <c r="AG17" i="4"/>
  <c r="AB21" i="4"/>
  <c r="AB39" i="4" s="1"/>
  <c r="AC20" i="4"/>
  <c r="AC18" i="4"/>
  <c r="AD19" i="4" s="1"/>
  <c r="AJ28" i="4" l="1"/>
  <c r="AI25" i="4"/>
  <c r="AI33" i="4" s="1"/>
  <c r="AI35" i="4" s="1"/>
  <c r="AH17" i="4"/>
  <c r="AJ24" i="4"/>
  <c r="AI16" i="4"/>
  <c r="AJ18" i="4" s="1"/>
  <c r="AJ32" i="4"/>
  <c r="AC21" i="4"/>
  <c r="AC39" i="4" s="1"/>
  <c r="AD20" i="4"/>
  <c r="AD18" i="4"/>
  <c r="AE19" i="4" s="1"/>
  <c r="AK32" i="4" l="1"/>
  <c r="AK28" i="4"/>
  <c r="AJ25" i="4"/>
  <c r="AJ33" i="4" s="1"/>
  <c r="AJ35" i="4" s="1"/>
  <c r="AI17" i="4"/>
  <c r="AK24" i="4"/>
  <c r="AJ16" i="4"/>
  <c r="AL32" i="4" s="1"/>
  <c r="AD21" i="4"/>
  <c r="AD39" i="4" s="1"/>
  <c r="AF19" i="4"/>
  <c r="AL24" i="4" l="1"/>
  <c r="AL28" i="4"/>
  <c r="AK25" i="4"/>
  <c r="AK33" i="4" s="1"/>
  <c r="AK35" i="4" s="1"/>
  <c r="AJ17" i="4"/>
  <c r="AK16" i="4"/>
  <c r="AM32" i="4" s="1"/>
  <c r="AE21" i="4"/>
  <c r="AE39" i="4" s="1"/>
  <c r="AG19" i="4"/>
  <c r="AF20" i="4"/>
  <c r="AF21" i="4" s="1"/>
  <c r="AF39" i="4" s="1"/>
  <c r="AF40" i="4" s="1"/>
  <c r="AK20" i="4" l="1"/>
  <c r="AK18" i="4"/>
  <c r="AL19" i="4" s="1"/>
  <c r="AM24" i="4"/>
  <c r="AM28" i="4"/>
  <c r="AL25" i="4"/>
  <c r="AL33" i="4" s="1"/>
  <c r="AL35" i="4" s="1"/>
  <c r="AJ15" i="4" s="1"/>
  <c r="AK17" i="4"/>
  <c r="AL16" i="4"/>
  <c r="AN32" i="4" s="1"/>
  <c r="AG20" i="4"/>
  <c r="AG18" i="4"/>
  <c r="AH19" i="4" s="1"/>
  <c r="AL20" i="4" l="1"/>
  <c r="AL18" i="4"/>
  <c r="AM19" i="4" s="1"/>
  <c r="AN28" i="4"/>
  <c r="AM25" i="4"/>
  <c r="AM33" i="4" s="1"/>
  <c r="AM35" i="4" s="1"/>
  <c r="AK15" i="4" s="1"/>
  <c r="AL17" i="4"/>
  <c r="AN24" i="4"/>
  <c r="AH20" i="4"/>
  <c r="AH18" i="4"/>
  <c r="AI19" i="4" s="1"/>
  <c r="AM16" i="4"/>
  <c r="AG21" i="4"/>
  <c r="AG39" i="4" s="1"/>
  <c r="AG40" i="4" s="1"/>
  <c r="AO28" i="4" l="1"/>
  <c r="AO32" i="4"/>
  <c r="AM20" i="4"/>
  <c r="AM18" i="4"/>
  <c r="AN19" i="4" s="1"/>
  <c r="AN25" i="4"/>
  <c r="AN33" i="4" s="1"/>
  <c r="AN35" i="4" s="1"/>
  <c r="AL15" i="4" s="1"/>
  <c r="AM17" i="4"/>
  <c r="AO24" i="4"/>
  <c r="AL21" i="4"/>
  <c r="AL39" i="4" s="1"/>
  <c r="AL40" i="4" s="1"/>
  <c r="AH21" i="4"/>
  <c r="AH39" i="4" s="1"/>
  <c r="AH40" i="4" s="1"/>
  <c r="AI18" i="4"/>
  <c r="AJ19" i="4" s="1"/>
  <c r="AI20" i="4"/>
  <c r="AN16" i="4"/>
  <c r="AP32" i="4" l="1"/>
  <c r="AP28" i="4"/>
  <c r="AI21" i="4"/>
  <c r="AI39" i="4" s="1"/>
  <c r="AI40" i="4" s="1"/>
  <c r="AN18" i="4"/>
  <c r="AO19" i="4" s="1"/>
  <c r="AN20" i="4"/>
  <c r="AP24" i="4"/>
  <c r="AO25" i="4"/>
  <c r="AO33" i="4" s="1"/>
  <c r="AO35" i="4" s="1"/>
  <c r="AM15" i="4" s="1"/>
  <c r="AN17" i="4"/>
  <c r="AM21" i="4"/>
  <c r="AM39" i="4" s="1"/>
  <c r="AM40" i="4" s="1"/>
  <c r="AK19" i="4"/>
  <c r="AJ20" i="4"/>
  <c r="AO16" i="4"/>
  <c r="AQ32" i="4" l="1"/>
  <c r="AQ28" i="4"/>
  <c r="AQ24" i="4"/>
  <c r="AK21" i="4"/>
  <c r="AK39" i="4" s="1"/>
  <c r="AK40" i="4" s="1"/>
  <c r="AN21" i="4"/>
  <c r="AN39" i="4" s="1"/>
  <c r="AN40" i="4" s="1"/>
  <c r="AO18" i="4"/>
  <c r="AP19" i="4" s="1"/>
  <c r="AO20" i="4"/>
  <c r="AP16" i="4"/>
  <c r="AQ25" i="4" s="1"/>
  <c r="AP25" i="4"/>
  <c r="AP33" i="4" s="1"/>
  <c r="AO17" i="4"/>
  <c r="AJ21" i="4"/>
  <c r="AJ39" i="4" s="1"/>
  <c r="AJ40" i="4" s="1"/>
  <c r="AR24" i="4" l="1"/>
  <c r="AR32" i="4"/>
  <c r="AR28" i="4"/>
  <c r="AQ33" i="4"/>
  <c r="AQ35" i="4" s="1"/>
  <c r="AP35" i="4"/>
  <c r="AO21" i="4"/>
  <c r="AO39" i="4" s="1"/>
  <c r="AO40" i="4" s="1"/>
  <c r="AQ16" i="4"/>
  <c r="AP17" i="4"/>
  <c r="AN15" i="4" l="1"/>
  <c r="AO15" i="4" s="1"/>
  <c r="AR25" i="4"/>
  <c r="AR33" i="4" s="1"/>
  <c r="AR35" i="4" s="1"/>
  <c r="AS28" i="4"/>
  <c r="AS24" i="4"/>
  <c r="AR16" i="4"/>
  <c r="AT24" i="4" s="1"/>
  <c r="AS32" i="4"/>
  <c r="AQ17" i="4"/>
  <c r="AP20" i="4" l="1"/>
  <c r="AP15" i="4"/>
  <c r="AP18" i="4"/>
  <c r="AQ19" i="4" s="1"/>
  <c r="AQ20" i="4"/>
  <c r="AQ18" i="4"/>
  <c r="AR19" i="4" s="1"/>
  <c r="AT28" i="4"/>
  <c r="AR17" i="4"/>
  <c r="AT32" i="4"/>
  <c r="AS16" i="4"/>
  <c r="AS25" i="4"/>
  <c r="AS33" i="4" s="1"/>
  <c r="AS35" i="4" s="1"/>
  <c r="AR18" i="4"/>
  <c r="AS19" i="4" s="1"/>
  <c r="AR20" i="4"/>
  <c r="AT25" i="4" l="1"/>
  <c r="AU24" i="4"/>
  <c r="AQ15" i="4"/>
  <c r="AS18" i="4" s="1"/>
  <c r="AT19" i="4" s="1"/>
  <c r="AP21" i="4"/>
  <c r="AP39" i="4" s="1"/>
  <c r="AP40" i="4" s="1"/>
  <c r="AR21" i="4"/>
  <c r="AR39" i="4" s="1"/>
  <c r="AR40" i="4" s="1"/>
  <c r="AT16" i="4"/>
  <c r="AU28" i="4"/>
  <c r="AU32" i="4"/>
  <c r="AS17" i="4"/>
  <c r="AT33" i="4"/>
  <c r="AT35" i="4" s="1"/>
  <c r="AQ21" i="4"/>
  <c r="AQ39" i="4" s="1"/>
  <c r="AQ40" i="4" s="1"/>
  <c r="AS20" i="4"/>
  <c r="AR15" i="4" l="1"/>
  <c r="AV24" i="4"/>
  <c r="AU25" i="4"/>
  <c r="AU33" i="4" s="1"/>
  <c r="AU35" i="4" s="1"/>
  <c r="AV32" i="4"/>
  <c r="AV28" i="4"/>
  <c r="AT17" i="4"/>
  <c r="AU16" i="4"/>
  <c r="AS21" i="4"/>
  <c r="AS39" i="4" s="1"/>
  <c r="AS40" i="4" s="1"/>
  <c r="AT18" i="4"/>
  <c r="AU19" i="4" s="1"/>
  <c r="AT20" i="4"/>
  <c r="AS15" i="4" l="1"/>
  <c r="AV25" i="4"/>
  <c r="AV33" i="4" s="1"/>
  <c r="AV35" i="4" s="1"/>
  <c r="AT15" i="4" s="1"/>
  <c r="AW24" i="4"/>
  <c r="AW32" i="4"/>
  <c r="AW28" i="4"/>
  <c r="AV16" i="4"/>
  <c r="AU17" i="4"/>
  <c r="AT21" i="4"/>
  <c r="AT39" i="4" s="1"/>
  <c r="AT40" i="4" s="1"/>
  <c r="AU18" i="4"/>
  <c r="AV19" i="4" s="1"/>
  <c r="AU20" i="4"/>
  <c r="AX24" i="4" l="1"/>
  <c r="AW25" i="4"/>
  <c r="AU21" i="4"/>
  <c r="AU39" i="4" s="1"/>
  <c r="AU40" i="4" s="1"/>
  <c r="AX28" i="4"/>
  <c r="AX32" i="4"/>
  <c r="AW33" i="4"/>
  <c r="AW35" i="4" s="1"/>
  <c r="AU15" i="4" s="1"/>
  <c r="AV17" i="4"/>
  <c r="AW16" i="4"/>
  <c r="AV20" i="4"/>
  <c r="AV18" i="4"/>
  <c r="AW19" i="4" s="1"/>
  <c r="AY24" i="4" l="1"/>
  <c r="AX25" i="4"/>
  <c r="AX33" i="4" s="1"/>
  <c r="AX35" i="4" s="1"/>
  <c r="AV15" i="4" s="1"/>
  <c r="AY32" i="4"/>
  <c r="AY28" i="4"/>
  <c r="AX16" i="4"/>
  <c r="AW17" i="4"/>
  <c r="AW20" i="4"/>
  <c r="AW18" i="4"/>
  <c r="AX19" i="4" s="1"/>
  <c r="AV21" i="4"/>
  <c r="AV39" i="4" s="1"/>
  <c r="AV40" i="4" s="1"/>
  <c r="AY25" i="4" l="1"/>
  <c r="AY33" i="4" s="1"/>
  <c r="AY35" i="4" s="1"/>
  <c r="AW15" i="4" s="1"/>
  <c r="AZ24" i="4"/>
  <c r="AZ28" i="4"/>
  <c r="AZ32" i="4"/>
  <c r="AY16" i="4"/>
  <c r="AX17" i="4"/>
  <c r="AX20" i="4"/>
  <c r="AX18" i="4"/>
  <c r="AY19" i="4" s="1"/>
  <c r="AW21" i="4"/>
  <c r="AW39" i="4" s="1"/>
  <c r="AW40" i="4" s="1"/>
  <c r="AZ25" i="4" l="1"/>
  <c r="AZ33" i="4" s="1"/>
  <c r="AZ35" i="4" s="1"/>
  <c r="AX15" i="4" s="1"/>
  <c r="BA24" i="4"/>
  <c r="BA28" i="4"/>
  <c r="BA32" i="4"/>
  <c r="AZ16" i="4"/>
  <c r="AY17" i="4"/>
  <c r="AY18" i="4"/>
  <c r="AZ19" i="4" s="1"/>
  <c r="AY20" i="4"/>
  <c r="AX21" i="4"/>
  <c r="AX39" i="4" s="1"/>
  <c r="AX40" i="4" s="1"/>
  <c r="BB24" i="4" l="1"/>
  <c r="BA25" i="4"/>
  <c r="BB32" i="4"/>
  <c r="BB28" i="4"/>
  <c r="BA16" i="4"/>
  <c r="BB25" i="4" s="1"/>
  <c r="AZ17" i="4"/>
  <c r="BA33" i="4"/>
  <c r="BA35" i="4" s="1"/>
  <c r="AY15" i="4" s="1"/>
  <c r="AY21" i="4"/>
  <c r="AY39" i="4" s="1"/>
  <c r="AY40" i="4" s="1"/>
  <c r="AZ18" i="4"/>
  <c r="BA19" i="4" s="1"/>
  <c r="AZ20" i="4"/>
  <c r="AZ21" i="4" l="1"/>
  <c r="AZ39" i="4" s="1"/>
  <c r="AZ40" i="4" s="1"/>
  <c r="BB33" i="4"/>
  <c r="BB35" i="4" s="1"/>
  <c r="AZ15" i="4" s="1"/>
  <c r="BA15" i="4" s="1"/>
  <c r="BB16" i="4"/>
  <c r="BA17" i="4"/>
  <c r="BA20" i="4"/>
  <c r="BA18" i="4"/>
  <c r="BB19" i="4" s="1"/>
  <c r="BB15" i="4" l="1"/>
  <c r="BC15" i="4" s="1"/>
  <c r="BC20" i="4"/>
  <c r="BC18" i="4"/>
  <c r="BB17" i="4"/>
  <c r="BC16" i="4"/>
  <c r="BB18" i="4"/>
  <c r="BC19" i="4" s="1"/>
  <c r="BB20" i="4"/>
  <c r="BA21" i="4"/>
  <c r="BA39" i="4" s="1"/>
  <c r="BA40" i="4" s="1"/>
  <c r="BC21" i="4" l="1"/>
  <c r="BC39" i="4" s="1"/>
  <c r="BC40" i="4" s="1"/>
  <c r="BB21" i="4"/>
  <c r="BB39" i="4" s="1"/>
  <c r="BB40" i="4" s="1"/>
</calcChain>
</file>

<file path=xl/sharedStrings.xml><?xml version="1.0" encoding="utf-8"?>
<sst xmlns="http://schemas.openxmlformats.org/spreadsheetml/2006/main" count="250" uniqueCount="139">
  <si>
    <t>payment per year</t>
  </si>
  <si>
    <t>payment per month</t>
  </si>
  <si>
    <t>lower</t>
  </si>
  <si>
    <t>upper</t>
  </si>
  <si>
    <t>+</t>
  </si>
  <si>
    <t>per item</t>
  </si>
  <si>
    <t>Special fees and allowances have been distributed in proportion to monthly items for illustrative purposes only. In practice, individual pharmacy income will vary according to the mix of products dispensed.</t>
  </si>
  <si>
    <t>SAF</t>
  </si>
  <si>
    <t>This guide and calculator do not cover locally agreed contracts (Local Pharmaceutical Services contracts).</t>
  </si>
  <si>
    <t>IMPORTANT:</t>
  </si>
  <si>
    <t>These figures are illustrative only.</t>
  </si>
  <si>
    <t>Income relating to Advanced and Enhanced Services is not included.</t>
  </si>
  <si>
    <t>Community Pharmacy Contractual Framework: PSNC's cashflow calculator</t>
  </si>
  <si>
    <t>Pharmacy average monthly item volume:</t>
  </si>
  <si>
    <t>per month</t>
  </si>
  <si>
    <t>2016/17 H1</t>
  </si>
  <si>
    <t>2016/17 H2</t>
  </si>
  <si>
    <t>2017/18 H1</t>
  </si>
  <si>
    <t>Margins</t>
  </si>
  <si>
    <t>Pharmacy opens 1st Jan</t>
  </si>
  <si>
    <t>Dispensing / SOP Month</t>
  </si>
  <si>
    <t>AIV</t>
  </si>
  <si>
    <t>Fees</t>
  </si>
  <si>
    <t>Items Dispensed</t>
  </si>
  <si>
    <t xml:space="preserve">This model assumes that: </t>
  </si>
  <si>
    <t>Items Submitted for Payment</t>
  </si>
  <si>
    <t>Advance Payment</t>
  </si>
  <si>
    <r>
      <t>·</t>
    </r>
    <r>
      <rPr>
        <sz val="7"/>
        <rFont val="Times New Roman"/>
        <family val="1"/>
      </rPr>
      <t xml:space="preserve">         </t>
    </r>
    <r>
      <rPr>
        <sz val="11"/>
        <rFont val="Calibri"/>
        <family val="2"/>
        <scheme val="minor"/>
      </rPr>
      <t>DH imposes a cut in total funding of £113m in H2 2016/17</t>
    </r>
  </si>
  <si>
    <t>Advance Recovered</t>
  </si>
  <si>
    <r>
      <t>·</t>
    </r>
    <r>
      <rPr>
        <sz val="7"/>
        <rFont val="Times New Roman"/>
        <family val="1"/>
      </rPr>
      <t xml:space="preserve">         </t>
    </r>
    <r>
      <rPr>
        <sz val="11"/>
        <rFont val="Calibri"/>
        <family val="2"/>
        <scheme val="minor"/>
      </rPr>
      <t>DH imposes a further cut in total funding of £95m in 2017/18</t>
    </r>
  </si>
  <si>
    <t>Total  value of account</t>
  </si>
  <si>
    <r>
      <t>·</t>
    </r>
    <r>
      <rPr>
        <sz val="7"/>
        <rFont val="Times New Roman"/>
        <family val="1"/>
      </rPr>
      <t xml:space="preserve">         </t>
    </r>
    <r>
      <rPr>
        <sz val="11"/>
        <rFont val="Calibri"/>
        <family val="2"/>
        <scheme val="minor"/>
      </rPr>
      <t>DH imposes its proposal of phasing out the Establishment Payment, reducing the pay rate by 20% from Dec-16, and by 40% from April-17</t>
    </r>
  </si>
  <si>
    <t>Total payment</t>
  </si>
  <si>
    <r>
      <t>·</t>
    </r>
    <r>
      <rPr>
        <sz val="7"/>
        <rFont val="Times New Roman"/>
        <family val="1"/>
      </rPr>
      <t xml:space="preserve">         </t>
    </r>
    <r>
      <rPr>
        <sz val="11"/>
        <rFont val="Calibri"/>
        <family val="2"/>
        <scheme val="minor"/>
      </rPr>
      <t>SAF is introduced in Dec-16</t>
    </r>
  </si>
  <si>
    <t>Special fees &amp; allowances</t>
  </si>
  <si>
    <t>EP</t>
  </si>
  <si>
    <t>PP table (Nov-15 to Mar-16)</t>
  </si>
  <si>
    <t>Prescription fee, Repeat Disp. &amp; EPS</t>
  </si>
  <si>
    <t>PP</t>
  </si>
  <si>
    <t>QP</t>
  </si>
  <si>
    <t>Margin</t>
  </si>
  <si>
    <t>Payment excluding reimbursement</t>
  </si>
  <si>
    <t>AIV change</t>
  </si>
  <si>
    <t>PP table (Apr-16 to Jul-16)</t>
  </si>
  <si>
    <t>Cash change</t>
  </si>
  <si>
    <t>Percentage change</t>
  </si>
  <si>
    <t>PP table (Aug-16 to Sept-16)</t>
  </si>
  <si>
    <t>PP table (Oct-16 to Nov-17)</t>
  </si>
  <si>
    <t>Pharmacy Cost Assumptions</t>
  </si>
  <si>
    <t>Base cost (per year):</t>
  </si>
  <si>
    <t>Per item cost:</t>
  </si>
  <si>
    <t>Total 16/17 Margin:</t>
  </si>
  <si>
    <t>16/17 forecast Total Items:</t>
  </si>
  <si>
    <t>Margin per item:</t>
  </si>
  <si>
    <t>Prescription Fee:</t>
  </si>
  <si>
    <t>16/17 forecast 2A-2F fees:</t>
  </si>
  <si>
    <t>Cat M reduction</t>
  </si>
  <si>
    <t>per item:</t>
  </si>
  <si>
    <t>Total 17/18 Margin:</t>
  </si>
  <si>
    <t>EP table (Current - up to Nov-16)</t>
  </si>
  <si>
    <t>EP table (16/17 H2 -  20% cut from Dec-16)</t>
  </si>
  <si>
    <t>EP table (17/18 - 40% cut)</t>
  </si>
  <si>
    <t>Review Point 2 amount</t>
  </si>
  <si>
    <t>Review Point 1 amount</t>
  </si>
  <si>
    <t>17/18 forecast total items:</t>
  </si>
  <si>
    <t>2017/18 H2</t>
  </si>
  <si>
    <t>nb. Assumes pharmacy qualifies for full amount</t>
  </si>
  <si>
    <r>
      <t xml:space="preserve">·   </t>
    </r>
    <r>
      <rPr>
        <sz val="11"/>
        <rFont val="Calibri"/>
        <family val="2"/>
        <scheme val="minor"/>
      </rPr>
      <t>PhAS is not included in this model</t>
    </r>
  </si>
  <si>
    <t>Community Pharmacy Contractual Framework: PSNC's cashflow indicator</t>
  </si>
  <si>
    <t>The Pharmacy Access Scheme (PhAS) payments are not factored into this calcuator.</t>
  </si>
  <si>
    <t>Information on PhAS and a list of eligible pharmacies is available at psnc.org.uk/phas</t>
  </si>
  <si>
    <t xml:space="preserve">Estimated average buying profit is derived from the total agreed margin divided by the forecasted items, and is intended only as a guide. </t>
  </si>
  <si>
    <t>input:</t>
  </si>
  <si>
    <t>Apr-17 to Jul-17</t>
  </si>
  <si>
    <t>Items per month</t>
  </si>
  <si>
    <t>Total income from fees and allowances pcm</t>
  </si>
  <si>
    <t>Estimated average     buying profit</t>
  </si>
  <si>
    <t>Indicative total income pcm</t>
  </si>
  <si>
    <t>£ per item</t>
  </si>
  <si>
    <t>Establishment Payment</t>
  </si>
  <si>
    <t>Special fees and allowances</t>
  </si>
  <si>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 xml:space="preserve">income from fees and allowances for Essential Services by item band during dispensing months </t>
    </r>
    <r>
      <rPr>
        <b/>
        <sz val="9"/>
        <color theme="1"/>
        <rFont val="Calibri"/>
        <family val="2"/>
        <scheme val="minor"/>
      </rPr>
      <t>Apr-17 to Jul-17</t>
    </r>
  </si>
  <si>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 during</t>
    </r>
    <r>
      <rPr>
        <b/>
        <sz val="9"/>
        <color theme="1"/>
        <rFont val="Calibri"/>
        <family val="2"/>
        <scheme val="minor"/>
      </rPr>
      <t xml:space="preserve"> dispensing months Apr-17 to Jul-17</t>
    </r>
    <r>
      <rPr>
        <sz val="9"/>
        <color theme="1"/>
        <rFont val="Calibri"/>
        <family val="2"/>
        <scheme val="minor"/>
      </rPr>
      <t xml:space="preserve"> inclusive</t>
    </r>
  </si>
  <si>
    <t>16/17 Special fees / allowances per item:</t>
  </si>
  <si>
    <t>Aug-17 to Mar-18</t>
  </si>
  <si>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 during</t>
    </r>
    <r>
      <rPr>
        <b/>
        <sz val="9"/>
        <color theme="1"/>
        <rFont val="Calibri"/>
        <family val="2"/>
        <scheme val="minor"/>
      </rPr>
      <t xml:space="preserve"> dispensing months Aug-17 to Mar-18</t>
    </r>
    <r>
      <rPr>
        <sz val="9"/>
        <color theme="1"/>
        <rFont val="Calibri"/>
        <family val="2"/>
        <scheme val="minor"/>
      </rPr>
      <t xml:space="preserve"> inclusive</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</si>
  <si>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 xml:space="preserve">income from fees and allowances for Essential Services by item band during dispensing months </t>
    </r>
    <r>
      <rPr>
        <b/>
        <sz val="9"/>
        <color theme="1"/>
        <rFont val="Calibri"/>
        <family val="2"/>
        <scheme val="minor"/>
      </rPr>
      <t>Aug-17 to Mar-18</t>
    </r>
  </si>
  <si>
    <t>2018/19 H1</t>
  </si>
  <si>
    <t>2018/19 H2</t>
  </si>
  <si>
    <t>Provisional 18/19 Margin:</t>
  </si>
  <si>
    <t>18/19 forecast items:</t>
  </si>
  <si>
    <t>2016/17 Fees &amp; Margin</t>
  </si>
  <si>
    <t>2017/18 Fees &amp; Margin</t>
  </si>
  <si>
    <t>Dec-16 to Mar-17 SAF per item</t>
  </si>
  <si>
    <t>17/18 forecast 2A-2F fees:</t>
  </si>
  <si>
    <t>2018/19 Fees &amp; Margin</t>
  </si>
  <si>
    <t>18/19 forecast 2A-2F fees:</t>
  </si>
  <si>
    <t>17/18 Special fees / allowances per item:</t>
  </si>
  <si>
    <t>Apr-17 to Oct-17 SAF</t>
  </si>
  <si>
    <t>Nov-17 to Mar-18 SAF</t>
  </si>
  <si>
    <t>EP table (18/19 - same as 17/18)</t>
  </si>
  <si>
    <t>QP 2017/18</t>
  </si>
  <si>
    <t>QP 2018/19</t>
  </si>
  <si>
    <t>nb. Amount if every CP qualified for full points</t>
  </si>
  <si>
    <t>18/19 Special fees / allowances per item:</t>
  </si>
  <si>
    <t>Reduction from Aug-17</t>
  </si>
  <si>
    <t>2019/20 H1</t>
  </si>
  <si>
    <t>2019/20 H2</t>
  </si>
  <si>
    <t>NB: Cashflow for 2016/17 &amp; 2017/18 in hidden columns D to AG</t>
  </si>
  <si>
    <t>Items for Aug-17 to Jul-18</t>
  </si>
  <si>
    <t>Reduction from Nov-18</t>
  </si>
  <si>
    <t>Items for Nov-18 to Mar-19</t>
  </si>
  <si>
    <t>Apr-18 to Oct-18 SAF</t>
  </si>
  <si>
    <t>Nov-18 to Mar-19 SAF</t>
  </si>
  <si>
    <t>2019/20 Fees &amp; Margin</t>
  </si>
  <si>
    <t>Total 19/20 Margin:</t>
  </si>
  <si>
    <t>19/20 forecast total items:</t>
  </si>
  <si>
    <t>19/20 forecast 2A-2F fees:</t>
  </si>
  <si>
    <t>19/20 Special fees / allowances per item:</t>
  </si>
  <si>
    <t>2019/20 SAF</t>
  </si>
  <si>
    <r>
      <t>·</t>
    </r>
    <r>
      <rPr>
        <sz val="7"/>
        <color theme="1"/>
        <rFont val="Times New Roman"/>
        <family val="1"/>
      </rPr>
      <t xml:space="preserve">         </t>
    </r>
    <r>
      <rPr>
        <sz val="11"/>
        <color theme="1"/>
        <rFont val="Calibri"/>
        <family val="2"/>
        <scheme val="minor"/>
      </rPr>
      <t>£15m a month will be recovered from August 2017 to July 2018</t>
    </r>
  </si>
  <si>
    <r>
      <t>·</t>
    </r>
    <r>
      <rPr>
        <sz val="7"/>
        <color theme="1"/>
        <rFont val="Times New Roman"/>
        <family val="1"/>
      </rPr>
      <t xml:space="preserve">         </t>
    </r>
    <r>
      <rPr>
        <sz val="11"/>
        <color theme="1"/>
        <rFont val="Calibri"/>
        <family val="2"/>
        <scheme val="minor"/>
      </rPr>
      <t>£10m a month will be recovered from November 2018 to March 2019</t>
    </r>
  </si>
  <si>
    <t>This section contains a cashflow indicator, intended to demonstrate how cashflow could be affected for an average pharmacy in £ (sterling) for Essential Services provided under the Community Pharmacy Contractual Framework. The figures shown here are illustrative only.</t>
  </si>
  <si>
    <t>To give the most accurate result for your pharmacy, please replace the national AIV figures in row 15 with your own pharmacy's AIV figures, found on Page 2 of each monthly Schedule of Payments.</t>
  </si>
  <si>
    <t>EP table (19/20 - same as 18/19)</t>
  </si>
  <si>
    <t>Apr-18 to Jul-18</t>
  </si>
  <si>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income from fees and allowances for Essential Services by item band</t>
    </r>
    <r>
      <rPr>
        <b/>
        <sz val="9"/>
        <color theme="1"/>
        <rFont val="Calibri"/>
        <family val="2"/>
        <scheme val="minor"/>
      </rPr>
      <t xml:space="preserve"> </t>
    </r>
    <r>
      <rPr>
        <sz val="9"/>
        <color theme="1"/>
        <rFont val="Calibri"/>
        <family val="2"/>
        <scheme val="minor"/>
      </rPr>
      <t>during dispensing months</t>
    </r>
    <r>
      <rPr>
        <b/>
        <sz val="9"/>
        <color theme="1"/>
        <rFont val="Calibri"/>
        <family val="2"/>
        <scheme val="minor"/>
      </rPr>
      <t xml:space="preserve"> Apr-18 to Jul-18</t>
    </r>
  </si>
  <si>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t>
    </r>
    <r>
      <rPr>
        <b/>
        <sz val="9"/>
        <color theme="1"/>
        <rFont val="Calibri"/>
        <family val="2"/>
        <scheme val="minor"/>
      </rPr>
      <t xml:space="preserve"> </t>
    </r>
    <r>
      <rPr>
        <sz val="9"/>
        <color theme="1"/>
        <rFont val="Calibri"/>
        <family val="2"/>
        <scheme val="minor"/>
      </rPr>
      <t>during dispensing months</t>
    </r>
    <r>
      <rPr>
        <b/>
        <sz val="9"/>
        <color theme="1"/>
        <rFont val="Calibri"/>
        <family val="2"/>
        <scheme val="minor"/>
      </rPr>
      <t xml:space="preserve"> Apr-18 to Jul-18 </t>
    </r>
    <r>
      <rPr>
        <sz val="9"/>
        <color theme="1"/>
        <rFont val="Calibri"/>
        <family val="2"/>
        <scheme val="minor"/>
      </rPr>
      <t>inclusive</t>
    </r>
  </si>
  <si>
    <t>Aug-18 to Oct-18</t>
  </si>
  <si>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t>
    </r>
    <r>
      <rPr>
        <b/>
        <sz val="9"/>
        <color theme="1"/>
        <rFont val="Calibri"/>
        <family val="2"/>
        <scheme val="minor"/>
      </rPr>
      <t xml:space="preserve"> </t>
    </r>
    <r>
      <rPr>
        <sz val="9"/>
        <color theme="1"/>
        <rFont val="Calibri"/>
        <family val="2"/>
        <scheme val="minor"/>
      </rPr>
      <t>during dispensing months</t>
    </r>
    <r>
      <rPr>
        <b/>
        <sz val="9"/>
        <color theme="1"/>
        <rFont val="Calibri"/>
        <family val="2"/>
        <scheme val="minor"/>
      </rPr>
      <t xml:space="preserve"> Aug-18 to Oct-18 </t>
    </r>
    <r>
      <rPr>
        <sz val="9"/>
        <color theme="1"/>
        <rFont val="Calibri"/>
        <family val="2"/>
        <scheme val="minor"/>
      </rPr>
      <t>inclusive</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</si>
  <si>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income from fees and allowances for Essential Services by item band</t>
    </r>
    <r>
      <rPr>
        <b/>
        <sz val="9"/>
        <color theme="1"/>
        <rFont val="Calibri"/>
        <family val="2"/>
        <scheme val="minor"/>
      </rPr>
      <t xml:space="preserve"> </t>
    </r>
    <r>
      <rPr>
        <sz val="9"/>
        <color theme="1"/>
        <rFont val="Calibri"/>
        <family val="2"/>
        <scheme val="minor"/>
      </rPr>
      <t>during dispensing months</t>
    </r>
    <r>
      <rPr>
        <b/>
        <sz val="9"/>
        <color theme="1"/>
        <rFont val="Calibri"/>
        <family val="2"/>
        <scheme val="minor"/>
      </rPr>
      <t xml:space="preserve"> Aug-18 to Oct-18</t>
    </r>
  </si>
  <si>
    <t>Nov-18 to Mar-19</t>
  </si>
  <si>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t>
    </r>
    <r>
      <rPr>
        <b/>
        <sz val="9"/>
        <color theme="1"/>
        <rFont val="Calibri"/>
        <family val="2"/>
        <scheme val="minor"/>
      </rPr>
      <t xml:space="preserve"> </t>
    </r>
    <r>
      <rPr>
        <sz val="9"/>
        <color theme="1"/>
        <rFont val="Calibri"/>
        <family val="2"/>
        <scheme val="minor"/>
      </rPr>
      <t>during dispensing months</t>
    </r>
    <r>
      <rPr>
        <b/>
        <sz val="9"/>
        <color theme="1"/>
        <rFont val="Calibri"/>
        <family val="2"/>
        <scheme val="minor"/>
      </rPr>
      <t xml:space="preserve"> Nov-18 to Mar-19 </t>
    </r>
    <r>
      <rPr>
        <sz val="9"/>
        <color theme="1"/>
        <rFont val="Calibri"/>
        <family val="2"/>
        <scheme val="minor"/>
      </rPr>
      <t>inclusive</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</si>
  <si>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income from fees and allowances for Essential Services by item band</t>
    </r>
    <r>
      <rPr>
        <b/>
        <sz val="9"/>
        <color theme="1"/>
        <rFont val="Calibri"/>
        <family val="2"/>
        <scheme val="minor"/>
      </rPr>
      <t xml:space="preserve"> </t>
    </r>
    <r>
      <rPr>
        <sz val="9"/>
        <color theme="1"/>
        <rFont val="Calibri"/>
        <family val="2"/>
        <scheme val="minor"/>
      </rPr>
      <t>during dispensing months</t>
    </r>
    <r>
      <rPr>
        <b/>
        <sz val="9"/>
        <color theme="1"/>
        <rFont val="Calibri"/>
        <family val="2"/>
        <scheme val="minor"/>
      </rPr>
      <t xml:space="preserve"> Nov-18 to Mar-19</t>
    </r>
  </si>
  <si>
    <t>Apr-19 onwards</t>
  </si>
  <si>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t>
    </r>
    <r>
      <rPr>
        <b/>
        <sz val="9"/>
        <color theme="1"/>
        <rFont val="Calibri"/>
        <family val="2"/>
        <scheme val="minor"/>
      </rPr>
      <t xml:space="preserve"> </t>
    </r>
    <r>
      <rPr>
        <sz val="9"/>
        <color theme="1"/>
        <rFont val="Calibri"/>
        <family val="2"/>
        <scheme val="minor"/>
      </rPr>
      <t>from dispensing month</t>
    </r>
    <r>
      <rPr>
        <b/>
        <sz val="9"/>
        <color theme="1"/>
        <rFont val="Calibri"/>
        <family val="2"/>
        <scheme val="minor"/>
      </rPr>
      <t xml:space="preserve"> Apr-19</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</si>
  <si>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income from fees and allowances for Essential Services by item band</t>
    </r>
    <r>
      <rPr>
        <b/>
        <sz val="9"/>
        <color theme="1"/>
        <rFont val="Calibri"/>
        <family val="2"/>
        <scheme val="minor"/>
      </rPr>
      <t xml:space="preserve"> </t>
    </r>
    <r>
      <rPr>
        <sz val="9"/>
        <color theme="1"/>
        <rFont val="Calibri"/>
        <family val="2"/>
        <scheme val="minor"/>
      </rPr>
      <t>from dispensing month</t>
    </r>
    <r>
      <rPr>
        <b/>
        <sz val="9"/>
        <color theme="1"/>
        <rFont val="Calibri"/>
        <family val="2"/>
        <scheme val="minor"/>
      </rPr>
      <t xml:space="preserve"> Apr-19</t>
    </r>
  </si>
  <si>
    <t>Last updated October 2018</t>
  </si>
  <si>
    <t>Payment received End of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</si>
</sst>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
    <numFmt numFmtId="165" formatCode="&quot;£&quot;#,##0.00"/>
    <numFmt numFmtId="166" formatCode="_-* #,##0_-;\-* #,##0_-;_-* &quot;-&quot;??_-;_-@_-"/>
    <numFmt numFmtId="167" formatCode="&quot;£&quot;#,##0.000"/>
    <numFmt numFmtId="168" formatCode="&quot;£&quot;#,##0.0000"/>
    <numFmt numFmtId="169" formatCode="_-* #,##0.0000_-;\-* #,##0.0000_-;_-* &quot;-&quot;??_-;_-@_-"/>
    <numFmt numFmtId="170" formatCode="_-* #,##0.00000_-;\-* #,##0.00000_-;_-* &quot;-&quot;??_-;_-@_-"/>
    <numFmt numFmtId="171" formatCode="_-* #,##0.0_-;\-* #,##0.0_-;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5"/>
      <color theme="1"/>
      <name val="Symbol"/>
      <family val="1"/>
      <charset val="2"/>
    </font>
    <font>
      <sz val="11"/>
      <name val="Calibri"/>
      <family val="2"/>
      <scheme val="minor"/>
    </font>
    <font>
      <u/>
      <sz val="11"/>
      <color theme="10"/>
      <name val="Calibri"/>
      <family val="2"/>
      <scheme val="minor"/>
    </font>
    <font>
      <sz val="11"/>
      <color theme="0" tint="-0.34998626667073579"/>
      <name val="Calibri"/>
      <family val="2"/>
      <scheme val="minor"/>
    </font>
    <font>
      <b/>
      <sz val="16"/>
      <color theme="1"/>
      <name val="Calibri"/>
      <family val="2"/>
      <scheme val="minor"/>
    </font>
    <font>
      <sz val="10.5"/>
      <color theme="1"/>
      <name val="Calibri"/>
      <family val="2"/>
      <scheme val="minor"/>
    </font>
    <font>
      <b/>
      <sz val="10.5"/>
      <color rgb="FFFF1D1D"/>
      <name val="Calibri"/>
      <family val="2"/>
      <scheme val="minor"/>
    </font>
    <font>
      <sz val="11"/>
      <color rgb="FFFF0000"/>
      <name val="Calibri"/>
      <family val="2"/>
      <scheme val="minor"/>
    </font>
    <font>
      <i/>
      <sz val="11"/>
      <color theme="1"/>
      <name val="Calibri"/>
      <family val="2"/>
      <scheme val="minor"/>
    </font>
    <font>
      <sz val="13"/>
      <color rgb="FF2E74B5"/>
      <name val="Calibri Light"/>
      <family val="2"/>
    </font>
    <font>
      <sz val="9"/>
      <color theme="0" tint="-0.34998626667073579"/>
      <name val="Calibri"/>
      <family val="2"/>
      <scheme val="minor"/>
    </font>
    <font>
      <sz val="11"/>
      <color theme="1"/>
      <name val="Symbol"/>
      <family val="1"/>
      <charset val="2"/>
    </font>
    <font>
      <b/>
      <sz val="11"/>
      <color rgb="FFFF0000"/>
      <name val="Calibri"/>
      <family val="2"/>
      <scheme val="minor"/>
    </font>
    <font>
      <sz val="11"/>
      <name val="Symbol"/>
      <family val="1"/>
      <charset val="2"/>
    </font>
    <font>
      <sz val="11"/>
      <color rgb="FFC00000"/>
      <name val="Calibri"/>
      <family val="2"/>
      <scheme val="minor"/>
    </font>
    <font>
      <sz val="11"/>
      <color rgb="FFFF7C80"/>
      <name val="Calibri"/>
      <family val="2"/>
      <scheme val="minor"/>
    </font>
    <font>
      <sz val="7"/>
      <color theme="1"/>
      <name val="Times New Roman"/>
      <family val="1"/>
    </font>
    <font>
      <sz val="7"/>
      <name val="Times New Roman"/>
      <family val="1"/>
    </font>
    <font>
      <sz val="9"/>
      <color theme="5"/>
      <name val="Calibri"/>
      <family val="2"/>
      <scheme val="minor"/>
    </font>
    <font>
      <b/>
      <sz val="18"/>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C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CBA9E5"/>
        <bgColor indexed="64"/>
      </patternFill>
    </fill>
    <fill>
      <patternFill patternType="solid">
        <fgColor rgb="FFE2CFF1"/>
        <bgColor indexed="64"/>
      </patternFill>
    </fill>
    <fill>
      <patternFill patternType="solid">
        <fgColor theme="0" tint="-4.9989318521683403E-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style="medium">
        <color theme="4" tint="0.59996337778862885"/>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theme="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cellStyleXfs>
  <cellXfs count="200">
    <xf numFmtId="0" fontId="0" fillId="0" borderId="0" xfId="0"/>
    <xf numFmtId="0" fontId="0" fillId="2" borderId="0" xfId="0" applyFill="1"/>
    <xf numFmtId="0" fontId="0" fillId="2" borderId="0" xfId="0" applyFill="1" applyBorder="1"/>
    <xf numFmtId="0" fontId="0" fillId="4" borderId="0" xfId="0" applyFill="1"/>
    <xf numFmtId="0" fontId="0" fillId="2" borderId="0" xfId="0" applyFill="1" applyAlignment="1">
      <alignment vertical="center"/>
    </xf>
    <xf numFmtId="0" fontId="3" fillId="4" borderId="0" xfId="0" applyFont="1" applyFill="1" applyAlignment="1">
      <alignment horizontal="left" vertical="center" indent="5"/>
    </xf>
    <xf numFmtId="0" fontId="0" fillId="2" borderId="0" xfId="0" applyFill="1"/>
    <xf numFmtId="0" fontId="0" fillId="4" borderId="0" xfId="0" applyFill="1" applyAlignment="1">
      <alignment wrapText="1"/>
    </xf>
    <xf numFmtId="0" fontId="3" fillId="2" borderId="0" xfId="0" applyFont="1" applyFill="1" applyAlignment="1">
      <alignment horizontal="left" vertical="center" indent="5"/>
    </xf>
    <xf numFmtId="0" fontId="0" fillId="4" borderId="0" xfId="0" applyFill="1" applyAlignment="1">
      <alignment vertical="center" wrapText="1"/>
    </xf>
    <xf numFmtId="0" fontId="5" fillId="4" borderId="0" xfId="4" applyFill="1" applyAlignment="1">
      <alignment vertical="center"/>
    </xf>
    <xf numFmtId="0" fontId="0" fillId="2" borderId="0" xfId="0" applyFill="1" applyAlignment="1">
      <alignment horizontal="left" wrapText="1"/>
    </xf>
    <xf numFmtId="0" fontId="0" fillId="4" borderId="0" xfId="0" applyFill="1" applyAlignment="1">
      <alignment vertical="center"/>
    </xf>
    <xf numFmtId="0" fontId="0" fillId="2" borderId="0" xfId="0" applyFill="1" applyAlignment="1">
      <alignment horizontal="right"/>
    </xf>
    <xf numFmtId="0" fontId="8" fillId="2" borderId="0" xfId="0" applyFont="1" applyFill="1" applyAlignment="1">
      <alignment vertical="center"/>
    </xf>
    <xf numFmtId="0" fontId="7" fillId="0" borderId="0" xfId="0" applyFont="1" applyAlignment="1">
      <alignment horizontal="left" vertical="center"/>
    </xf>
    <xf numFmtId="165" fontId="0" fillId="2" borderId="0" xfId="0" applyNumberFormat="1" applyFill="1"/>
    <xf numFmtId="164" fontId="0" fillId="2" borderId="0" xfId="0" applyNumberFormat="1" applyFill="1"/>
    <xf numFmtId="43" fontId="0" fillId="2" borderId="0" xfId="0" applyNumberFormat="1" applyFill="1"/>
    <xf numFmtId="0" fontId="0" fillId="2" borderId="0" xfId="0" applyFill="1" applyBorder="1" applyAlignment="1">
      <alignment vertical="center"/>
    </xf>
    <xf numFmtId="0" fontId="0" fillId="2" borderId="0" xfId="0" applyFill="1" applyBorder="1" applyAlignment="1">
      <alignment horizontal="right" vertical="center"/>
    </xf>
    <xf numFmtId="0" fontId="9" fillId="4" borderId="0" xfId="0" applyFont="1" applyFill="1" applyAlignment="1">
      <alignment vertical="center"/>
    </xf>
    <xf numFmtId="0" fontId="0" fillId="8" borderId="0" xfId="0" applyFill="1"/>
    <xf numFmtId="17" fontId="0" fillId="2" borderId="0" xfId="0" applyNumberFormat="1" applyFill="1" applyAlignment="1">
      <alignment horizontal="right"/>
    </xf>
    <xf numFmtId="0" fontId="12" fillId="2" borderId="0" xfId="0" applyFont="1" applyFill="1" applyAlignment="1">
      <alignment vertical="center"/>
    </xf>
    <xf numFmtId="17" fontId="13" fillId="2" borderId="5" xfId="0" applyNumberFormat="1" applyFont="1" applyFill="1" applyBorder="1" applyAlignment="1">
      <alignment horizontal="left" vertical="top"/>
    </xf>
    <xf numFmtId="0" fontId="0" fillId="2" borderId="6" xfId="0" applyFill="1" applyBorder="1"/>
    <xf numFmtId="17" fontId="2" fillId="2" borderId="6" xfId="0" applyNumberFormat="1" applyFont="1" applyFill="1" applyBorder="1"/>
    <xf numFmtId="17" fontId="2" fillId="2" borderId="7" xfId="0" applyNumberFormat="1" applyFont="1" applyFill="1" applyBorder="1" applyAlignment="1">
      <alignment horizontal="right"/>
    </xf>
    <xf numFmtId="0" fontId="14" fillId="2" borderId="0" xfId="0" applyFont="1" applyFill="1" applyAlignment="1">
      <alignment horizontal="left" vertical="center" indent="5"/>
    </xf>
    <xf numFmtId="0" fontId="15" fillId="2" borderId="0" xfId="0" applyFont="1" applyFill="1" applyAlignment="1">
      <alignment horizontal="left"/>
    </xf>
    <xf numFmtId="0" fontId="0" fillId="2" borderId="0" xfId="0" applyFill="1" applyAlignment="1">
      <alignment horizontal="right" vertical="center"/>
    </xf>
    <xf numFmtId="165" fontId="0" fillId="7" borderId="8" xfId="1" applyNumberFormat="1" applyFont="1" applyFill="1" applyBorder="1" applyAlignment="1">
      <alignment horizontal="right" vertical="center"/>
    </xf>
    <xf numFmtId="165" fontId="0" fillId="12" borderId="8" xfId="1" applyNumberFormat="1" applyFont="1" applyFill="1" applyBorder="1" applyAlignment="1">
      <alignment horizontal="right" vertical="center"/>
    </xf>
    <xf numFmtId="165" fontId="0" fillId="13" borderId="8" xfId="1" applyNumberFormat="1" applyFont="1" applyFill="1" applyBorder="1" applyAlignment="1">
      <alignment horizontal="right" vertical="center"/>
    </xf>
    <xf numFmtId="165" fontId="0" fillId="5" borderId="8" xfId="1" applyNumberFormat="1" applyFont="1" applyFill="1" applyBorder="1" applyAlignment="1">
      <alignment horizontal="right" vertical="center"/>
    </xf>
    <xf numFmtId="165" fontId="0" fillId="10" borderId="8" xfId="1" applyNumberFormat="1" applyFont="1" applyFill="1" applyBorder="1" applyAlignment="1">
      <alignment horizontal="right" vertical="center"/>
    </xf>
    <xf numFmtId="165" fontId="0" fillId="14" borderId="8" xfId="1" applyNumberFormat="1" applyFont="1" applyFill="1" applyBorder="1" applyAlignment="1">
      <alignment horizontal="right" vertical="center"/>
    </xf>
    <xf numFmtId="165" fontId="0" fillId="3" borderId="8" xfId="1" applyNumberFormat="1" applyFont="1" applyFill="1" applyBorder="1" applyAlignment="1">
      <alignment horizontal="right" vertical="center"/>
    </xf>
    <xf numFmtId="165" fontId="0" fillId="11" borderId="8" xfId="1" applyNumberFormat="1" applyFont="1" applyFill="1" applyBorder="1" applyAlignment="1">
      <alignment horizontal="right" vertical="center"/>
    </xf>
    <xf numFmtId="0" fontId="2" fillId="2" borderId="0" xfId="0" applyFont="1" applyFill="1" applyBorder="1" applyAlignment="1">
      <alignment horizontal="left"/>
    </xf>
    <xf numFmtId="0" fontId="0" fillId="0" borderId="9" xfId="0" applyFill="1" applyBorder="1" applyAlignment="1">
      <alignment horizontal="right" vertical="center"/>
    </xf>
    <xf numFmtId="166" fontId="0" fillId="7" borderId="9" xfId="1" applyNumberFormat="1" applyFont="1" applyFill="1" applyBorder="1" applyAlignment="1">
      <alignment horizontal="center" vertical="center"/>
    </xf>
    <xf numFmtId="166" fontId="0" fillId="12" borderId="9" xfId="1" applyNumberFormat="1" applyFont="1" applyFill="1" applyBorder="1" applyAlignment="1">
      <alignment horizontal="center" vertical="center"/>
    </xf>
    <xf numFmtId="166" fontId="0" fillId="13" borderId="9" xfId="1" applyNumberFormat="1" applyFont="1" applyFill="1" applyBorder="1" applyAlignment="1">
      <alignment horizontal="center" vertical="center"/>
    </xf>
    <xf numFmtId="166" fontId="0" fillId="5" borderId="9" xfId="1" applyNumberFormat="1" applyFont="1" applyFill="1" applyBorder="1" applyAlignment="1">
      <alignment horizontal="center" vertical="center"/>
    </xf>
    <xf numFmtId="166" fontId="0" fillId="10" borderId="9" xfId="1" applyNumberFormat="1" applyFont="1" applyFill="1" applyBorder="1" applyAlignment="1">
      <alignment horizontal="center" vertical="center"/>
    </xf>
    <xf numFmtId="166" fontId="0" fillId="14" borderId="9" xfId="1" applyNumberFormat="1" applyFont="1" applyFill="1" applyBorder="1" applyAlignment="1">
      <alignment horizontal="center" vertical="center"/>
    </xf>
    <xf numFmtId="166" fontId="0" fillId="3" borderId="9" xfId="1" applyNumberFormat="1" applyFont="1" applyFill="1" applyBorder="1" applyAlignment="1">
      <alignment horizontal="center" vertical="center"/>
    </xf>
    <xf numFmtId="166" fontId="0" fillId="11" borderId="8" xfId="1" applyNumberFormat="1" applyFont="1" applyFill="1" applyBorder="1" applyAlignment="1">
      <alignment horizontal="center" vertical="center"/>
    </xf>
    <xf numFmtId="166" fontId="0" fillId="7" borderId="8" xfId="1" applyNumberFormat="1" applyFont="1" applyFill="1" applyBorder="1" applyAlignment="1">
      <alignment horizontal="center" vertical="center"/>
    </xf>
    <xf numFmtId="166" fontId="0" fillId="12" borderId="8" xfId="1" applyNumberFormat="1" applyFont="1" applyFill="1" applyBorder="1" applyAlignment="1">
      <alignment horizontal="center" vertical="center"/>
    </xf>
    <xf numFmtId="166" fontId="0" fillId="13" borderId="8" xfId="1" applyNumberFormat="1" applyFont="1" applyFill="1" applyBorder="1" applyAlignment="1">
      <alignment horizontal="center" vertical="center"/>
    </xf>
    <xf numFmtId="166" fontId="0" fillId="5" borderId="8" xfId="1" applyNumberFormat="1" applyFont="1" applyFill="1" applyBorder="1" applyAlignment="1">
      <alignment horizontal="center" vertical="center"/>
    </xf>
    <xf numFmtId="166" fontId="0" fillId="10" borderId="8" xfId="1" applyNumberFormat="1" applyFont="1" applyFill="1" applyBorder="1" applyAlignment="1">
      <alignment horizontal="center" vertical="center"/>
    </xf>
    <xf numFmtId="166" fontId="0" fillId="14" borderId="8" xfId="1" applyNumberFormat="1" applyFont="1" applyFill="1" applyBorder="1" applyAlignment="1">
      <alignment horizontal="center" vertical="center"/>
    </xf>
    <xf numFmtId="166" fontId="0" fillId="3" borderId="8" xfId="1" applyNumberFormat="1" applyFont="1" applyFill="1" applyBorder="1" applyAlignment="1">
      <alignment horizontal="center" vertical="center"/>
    </xf>
    <xf numFmtId="0" fontId="4" fillId="2" borderId="0" xfId="0" applyFont="1" applyFill="1" applyAlignment="1">
      <alignment vertical="center"/>
    </xf>
    <xf numFmtId="0" fontId="10" fillId="2" borderId="0" xfId="0" applyFont="1" applyFill="1"/>
    <xf numFmtId="166" fontId="0" fillId="0" borderId="8" xfId="1" applyNumberFormat="1" applyFont="1" applyFill="1" applyBorder="1" applyAlignment="1">
      <alignment horizontal="center" vertical="center"/>
    </xf>
    <xf numFmtId="164" fontId="0" fillId="0" borderId="8" xfId="0" applyNumberFormat="1" applyFill="1" applyBorder="1" applyAlignment="1">
      <alignment horizontal="center" vertical="center"/>
    </xf>
    <xf numFmtId="164" fontId="0" fillId="7" borderId="8" xfId="0" applyNumberFormat="1" applyFill="1" applyBorder="1" applyAlignment="1">
      <alignment horizontal="center" vertical="center"/>
    </xf>
    <xf numFmtId="164" fontId="0" fillId="12" borderId="8" xfId="0" applyNumberFormat="1" applyFill="1" applyBorder="1" applyAlignment="1">
      <alignment horizontal="center" vertical="center"/>
    </xf>
    <xf numFmtId="164" fontId="0" fillId="13" borderId="8" xfId="0" applyNumberFormat="1" applyFill="1" applyBorder="1" applyAlignment="1">
      <alignment horizontal="center" vertical="center"/>
    </xf>
    <xf numFmtId="164" fontId="0" fillId="5" borderId="8" xfId="0" applyNumberFormat="1" applyFill="1" applyBorder="1" applyAlignment="1">
      <alignment horizontal="center" vertical="center"/>
    </xf>
    <xf numFmtId="164" fontId="0" fillId="10" borderId="8" xfId="0" applyNumberFormat="1" applyFill="1" applyBorder="1" applyAlignment="1">
      <alignment horizontal="center" vertical="center"/>
    </xf>
    <xf numFmtId="164" fontId="0" fillId="14" borderId="8" xfId="0" applyNumberFormat="1" applyFill="1" applyBorder="1" applyAlignment="1">
      <alignment horizontal="center" vertical="center"/>
    </xf>
    <xf numFmtId="164" fontId="0" fillId="3" borderId="8" xfId="0" applyNumberFormat="1" applyFill="1" applyBorder="1" applyAlignment="1">
      <alignment horizontal="center" vertical="center"/>
    </xf>
    <xf numFmtId="164" fontId="0" fillId="11" borderId="8" xfId="0" applyNumberFormat="1" applyFill="1" applyBorder="1" applyAlignment="1">
      <alignment horizontal="center" vertical="center"/>
    </xf>
    <xf numFmtId="0" fontId="16" fillId="2" borderId="0" xfId="0" applyFont="1" applyFill="1" applyAlignment="1">
      <alignment horizontal="left" vertical="center" indent="5"/>
    </xf>
    <xf numFmtId="0" fontId="10" fillId="2" borderId="0" xfId="0" applyFont="1" applyFill="1" applyAlignment="1">
      <alignment horizontal="right"/>
    </xf>
    <xf numFmtId="0" fontId="0" fillId="0" borderId="8" xfId="0" applyFill="1" applyBorder="1" applyAlignment="1">
      <alignment horizontal="center" vertical="center"/>
    </xf>
    <xf numFmtId="0" fontId="2" fillId="2" borderId="0" xfId="0" applyFont="1" applyFill="1" applyBorder="1" applyAlignment="1">
      <alignment horizontal="right" vertical="center"/>
    </xf>
    <xf numFmtId="164" fontId="2" fillId="2" borderId="8" xfId="0" applyNumberFormat="1" applyFont="1" applyFill="1" applyBorder="1" applyAlignment="1">
      <alignment horizontal="center" vertical="center"/>
    </xf>
    <xf numFmtId="0" fontId="0" fillId="2" borderId="0" xfId="0" applyFill="1" applyBorder="1" applyAlignment="1">
      <alignment horizontal="left"/>
    </xf>
    <xf numFmtId="0" fontId="6" fillId="2" borderId="0" xfId="0" applyFont="1" applyFill="1" applyBorder="1" applyAlignment="1">
      <alignment horizontal="right"/>
    </xf>
    <xf numFmtId="164" fontId="6" fillId="2" borderId="0" xfId="0" applyNumberFormat="1" applyFont="1" applyFill="1" applyBorder="1"/>
    <xf numFmtId="0" fontId="6" fillId="2" borderId="0" xfId="0" applyFont="1" applyFill="1" applyAlignment="1">
      <alignment horizontal="right" vertical="center"/>
    </xf>
    <xf numFmtId="0" fontId="6" fillId="2" borderId="0" xfId="0" applyFont="1" applyFill="1" applyAlignment="1">
      <alignment horizontal="right"/>
    </xf>
    <xf numFmtId="0" fontId="2" fillId="9" borderId="0" xfId="0" applyFont="1" applyFill="1"/>
    <xf numFmtId="0" fontId="0" fillId="9" borderId="0" xfId="0" applyFill="1"/>
    <xf numFmtId="17" fontId="6" fillId="2" borderId="0" xfId="0" applyNumberFormat="1" applyFont="1" applyFill="1"/>
    <xf numFmtId="165" fontId="6" fillId="2" borderId="0" xfId="0" applyNumberFormat="1" applyFont="1" applyFill="1"/>
    <xf numFmtId="0" fontId="6" fillId="2" borderId="0" xfId="0" applyFont="1" applyFill="1" applyAlignment="1">
      <alignment horizontal="left"/>
    </xf>
    <xf numFmtId="0" fontId="0" fillId="9" borderId="0" xfId="0" applyFill="1" applyAlignment="1">
      <alignment horizontal="right"/>
    </xf>
    <xf numFmtId="0" fontId="0" fillId="10" borderId="0" xfId="0" applyFill="1" applyAlignment="1">
      <alignment horizontal="right" vertical="center"/>
    </xf>
    <xf numFmtId="164" fontId="0" fillId="10" borderId="0" xfId="0" applyNumberFormat="1" applyFill="1" applyAlignment="1">
      <alignment horizontal="right" vertical="center"/>
    </xf>
    <xf numFmtId="0" fontId="6" fillId="2" borderId="0" xfId="0" applyFont="1" applyFill="1"/>
    <xf numFmtId="166" fontId="0" fillId="2" borderId="0" xfId="0" applyNumberFormat="1" applyFill="1" applyAlignment="1">
      <alignment horizontal="right" vertical="center"/>
    </xf>
    <xf numFmtId="0" fontId="6" fillId="2" borderId="0" xfId="0" applyFont="1" applyFill="1" applyBorder="1"/>
    <xf numFmtId="164" fontId="6" fillId="2" borderId="0" xfId="0" applyNumberFormat="1" applyFont="1" applyFill="1"/>
    <xf numFmtId="0" fontId="0" fillId="2" borderId="0" xfId="0" applyFill="1" applyBorder="1" applyAlignment="1">
      <alignment horizontal="right"/>
    </xf>
    <xf numFmtId="43" fontId="0" fillId="2" borderId="0" xfId="1" applyFont="1" applyFill="1" applyBorder="1"/>
    <xf numFmtId="165" fontId="0" fillId="7" borderId="8" xfId="0" applyNumberFormat="1" applyFill="1" applyBorder="1" applyAlignment="1">
      <alignment horizontal="center" vertical="center"/>
    </xf>
    <xf numFmtId="165" fontId="0" fillId="12" borderId="8" xfId="0" applyNumberFormat="1" applyFill="1" applyBorder="1" applyAlignment="1">
      <alignment horizontal="center" vertical="center"/>
    </xf>
    <xf numFmtId="165" fontId="0" fillId="13" borderId="8" xfId="0" applyNumberFormat="1" applyFill="1" applyBorder="1" applyAlignment="1">
      <alignment horizontal="center" vertical="center"/>
    </xf>
    <xf numFmtId="165" fontId="0" fillId="5" borderId="8" xfId="0" applyNumberFormat="1" applyFill="1" applyBorder="1" applyAlignment="1">
      <alignment horizontal="center" vertical="center"/>
    </xf>
    <xf numFmtId="165" fontId="0" fillId="10" borderId="8" xfId="0" applyNumberFormat="1" applyFill="1" applyBorder="1" applyAlignment="1">
      <alignment horizontal="center" vertical="center"/>
    </xf>
    <xf numFmtId="165" fontId="0" fillId="14" borderId="8" xfId="0" applyNumberFormat="1" applyFill="1" applyBorder="1" applyAlignment="1">
      <alignment horizontal="center" vertical="center"/>
    </xf>
    <xf numFmtId="165" fontId="0" fillId="3" borderId="8" xfId="0" applyNumberFormat="1" applyFill="1" applyBorder="1" applyAlignment="1">
      <alignment horizontal="center" vertical="center"/>
    </xf>
    <xf numFmtId="165" fontId="0" fillId="11" borderId="8" xfId="0" applyNumberFormat="1" applyFill="1" applyBorder="1" applyAlignment="1">
      <alignment horizontal="center" vertical="center"/>
    </xf>
    <xf numFmtId="164" fontId="0" fillId="2" borderId="0" xfId="0" applyNumberFormat="1" applyFill="1" applyAlignment="1">
      <alignment horizontal="right"/>
    </xf>
    <xf numFmtId="9" fontId="0" fillId="2" borderId="0" xfId="2" applyFont="1" applyFill="1" applyAlignment="1">
      <alignment horizontal="right"/>
    </xf>
    <xf numFmtId="165" fontId="0" fillId="2" borderId="0" xfId="0" applyNumberFormat="1" applyFill="1" applyAlignment="1">
      <alignment horizontal="right" vertical="center"/>
    </xf>
    <xf numFmtId="0" fontId="0" fillId="2" borderId="0" xfId="0" applyFill="1" applyAlignment="1">
      <alignment horizontal="left" vertical="center"/>
    </xf>
    <xf numFmtId="169" fontId="0" fillId="2" borderId="0" xfId="0" applyNumberFormat="1" applyFill="1" applyAlignment="1">
      <alignment horizontal="right" vertical="center"/>
    </xf>
    <xf numFmtId="17" fontId="6" fillId="2" borderId="0" xfId="0" applyNumberFormat="1" applyFont="1" applyFill="1" applyBorder="1"/>
    <xf numFmtId="165" fontId="6" fillId="2" borderId="0" xfId="0" applyNumberFormat="1" applyFont="1" applyFill="1" applyBorder="1"/>
    <xf numFmtId="167" fontId="18" fillId="2" borderId="0" xfId="0" applyNumberFormat="1" applyFont="1" applyFill="1" applyBorder="1" applyAlignment="1">
      <alignment horizontal="center"/>
    </xf>
    <xf numFmtId="0" fontId="18" fillId="2" borderId="0" xfId="0" applyFont="1" applyFill="1" applyBorder="1"/>
    <xf numFmtId="167" fontId="0" fillId="2" borderId="0" xfId="0" applyNumberFormat="1" applyFill="1"/>
    <xf numFmtId="170" fontId="0" fillId="2" borderId="0" xfId="0" applyNumberFormat="1" applyFill="1"/>
    <xf numFmtId="0" fontId="2" fillId="6" borderId="0" xfId="0" applyFont="1" applyFill="1" applyAlignment="1">
      <alignment horizontal="left" vertical="center"/>
    </xf>
    <xf numFmtId="0" fontId="0" fillId="6" borderId="0" xfId="0" applyFill="1" applyAlignment="1">
      <alignment horizontal="right" vertical="center"/>
    </xf>
    <xf numFmtId="164" fontId="0" fillId="5" borderId="0" xfId="0" applyNumberFormat="1" applyFill="1" applyAlignment="1">
      <alignment horizontal="right" vertical="center"/>
    </xf>
    <xf numFmtId="165" fontId="0" fillId="5" borderId="0" xfId="0" applyNumberFormat="1" applyFill="1" applyAlignment="1">
      <alignment horizontal="right" vertical="center"/>
    </xf>
    <xf numFmtId="0" fontId="2" fillId="15" borderId="0" xfId="0" applyFont="1" applyFill="1" applyAlignment="1">
      <alignment horizontal="left" vertical="center"/>
    </xf>
    <xf numFmtId="0" fontId="0" fillId="15" borderId="0" xfId="0" applyFill="1" applyAlignment="1">
      <alignment horizontal="right" vertical="center"/>
    </xf>
    <xf numFmtId="164" fontId="0" fillId="12" borderId="0" xfId="0" applyNumberFormat="1" applyFill="1" applyAlignment="1">
      <alignment horizontal="right" vertical="center"/>
    </xf>
    <xf numFmtId="166" fontId="0" fillId="12" borderId="0" xfId="1" applyNumberFormat="1" applyFont="1" applyFill="1" applyAlignment="1">
      <alignment horizontal="right" vertical="center"/>
    </xf>
    <xf numFmtId="165" fontId="0" fillId="12" borderId="0" xfId="0" applyNumberFormat="1" applyFill="1" applyAlignment="1">
      <alignment horizontal="right" vertical="center"/>
    </xf>
    <xf numFmtId="0" fontId="0" fillId="15" borderId="0" xfId="0" applyFill="1"/>
    <xf numFmtId="0" fontId="0" fillId="15" borderId="0" xfId="0" applyFill="1" applyAlignment="1">
      <alignment horizontal="right"/>
    </xf>
    <xf numFmtId="165" fontId="0" fillId="12" borderId="0" xfId="0" applyNumberFormat="1" applyFill="1"/>
    <xf numFmtId="164" fontId="0" fillId="12" borderId="0" xfId="0" applyNumberFormat="1" applyFill="1"/>
    <xf numFmtId="168" fontId="0" fillId="12" borderId="0" xfId="0" applyNumberFormat="1" applyFill="1"/>
    <xf numFmtId="0" fontId="2" fillId="15" borderId="0" xfId="0" applyFont="1" applyFill="1"/>
    <xf numFmtId="167" fontId="0" fillId="12" borderId="0" xfId="0" applyNumberFormat="1" applyFill="1"/>
    <xf numFmtId="166" fontId="0" fillId="2" borderId="0" xfId="1" applyNumberFormat="1" applyFont="1" applyFill="1"/>
    <xf numFmtId="17" fontId="0" fillId="2" borderId="0" xfId="0" applyNumberFormat="1" applyFill="1"/>
    <xf numFmtId="0" fontId="0" fillId="15" borderId="0" xfId="0" applyFill="1" applyAlignment="1">
      <alignment horizontal="left" vertical="center"/>
    </xf>
    <xf numFmtId="0" fontId="2" fillId="8" borderId="0" xfId="0" applyFont="1" applyFill="1"/>
    <xf numFmtId="0" fontId="0" fillId="8" borderId="0" xfId="0" applyFill="1" applyAlignment="1">
      <alignment horizontal="right"/>
    </xf>
    <xf numFmtId="0" fontId="0" fillId="7" borderId="0" xfId="0" applyFill="1"/>
    <xf numFmtId="164" fontId="0" fillId="7" borderId="0" xfId="0" applyNumberFormat="1" applyFill="1"/>
    <xf numFmtId="0" fontId="2" fillId="8" borderId="10" xfId="0" applyFont="1" applyFill="1" applyBorder="1"/>
    <xf numFmtId="0" fontId="0" fillId="8" borderId="10" xfId="0" applyFill="1" applyBorder="1"/>
    <xf numFmtId="0" fontId="0" fillId="2" borderId="0" xfId="0" applyFill="1" applyAlignment="1">
      <alignment wrapText="1"/>
    </xf>
    <xf numFmtId="0" fontId="0" fillId="16" borderId="0" xfId="0" applyFill="1"/>
    <xf numFmtId="0" fontId="0" fillId="16" borderId="0" xfId="0" applyFill="1" applyAlignment="1">
      <alignment horizontal="right"/>
    </xf>
    <xf numFmtId="165" fontId="0" fillId="5" borderId="0" xfId="0" applyNumberFormat="1" applyFill="1"/>
    <xf numFmtId="0" fontId="0" fillId="8" borderId="10" xfId="0" applyFill="1" applyBorder="1" applyAlignment="1">
      <alignment horizontal="right"/>
    </xf>
    <xf numFmtId="1" fontId="0" fillId="7" borderId="0" xfId="0" applyNumberFormat="1" applyFill="1" applyAlignment="1">
      <alignment horizontal="right"/>
    </xf>
    <xf numFmtId="1" fontId="0" fillId="7" borderId="0" xfId="0" applyNumberFormat="1" applyFill="1"/>
    <xf numFmtId="0" fontId="0" fillId="7" borderId="0" xfId="0" applyFill="1" applyAlignment="1">
      <alignment horizontal="right"/>
    </xf>
    <xf numFmtId="166" fontId="0" fillId="11" borderId="9" xfId="1" applyNumberFormat="1" applyFont="1" applyFill="1" applyBorder="1" applyAlignment="1">
      <alignment horizontal="center" vertical="center"/>
    </xf>
    <xf numFmtId="165" fontId="0" fillId="11" borderId="1" xfId="1" applyNumberFormat="1" applyFont="1" applyFill="1" applyBorder="1" applyAlignment="1" applyProtection="1">
      <alignment horizontal="right" vertical="center"/>
      <protection locked="0"/>
    </xf>
    <xf numFmtId="165" fontId="0" fillId="7" borderId="1" xfId="1" applyNumberFormat="1" applyFont="1" applyFill="1" applyBorder="1" applyAlignment="1" applyProtection="1">
      <alignment horizontal="right" vertical="center"/>
      <protection locked="0"/>
    </xf>
    <xf numFmtId="165" fontId="0" fillId="12" borderId="1" xfId="1" applyNumberFormat="1" applyFont="1" applyFill="1" applyBorder="1" applyAlignment="1" applyProtection="1">
      <alignment horizontal="right" vertical="center"/>
      <protection locked="0"/>
    </xf>
    <xf numFmtId="165" fontId="0" fillId="13" borderId="1" xfId="1" applyNumberFormat="1" applyFont="1" applyFill="1" applyBorder="1" applyAlignment="1" applyProtection="1">
      <alignment horizontal="right" vertical="center"/>
      <protection locked="0"/>
    </xf>
    <xf numFmtId="165" fontId="0" fillId="5" borderId="1" xfId="1" applyNumberFormat="1" applyFont="1" applyFill="1" applyBorder="1" applyAlignment="1" applyProtection="1">
      <alignment horizontal="right" vertical="center"/>
      <protection locked="0"/>
    </xf>
    <xf numFmtId="165" fontId="0" fillId="10" borderId="1" xfId="1" applyNumberFormat="1" applyFont="1" applyFill="1" applyBorder="1" applyAlignment="1" applyProtection="1">
      <alignment horizontal="right" vertical="center"/>
      <protection locked="0"/>
    </xf>
    <xf numFmtId="165" fontId="0" fillId="14" borderId="1" xfId="1" applyNumberFormat="1" applyFont="1" applyFill="1" applyBorder="1" applyAlignment="1" applyProtection="1">
      <alignment horizontal="right" vertical="center"/>
      <protection locked="0"/>
    </xf>
    <xf numFmtId="165" fontId="0" fillId="3" borderId="1" xfId="1" applyNumberFormat="1" applyFont="1" applyFill="1" applyBorder="1" applyAlignment="1" applyProtection="1">
      <alignment horizontal="right" vertical="center"/>
      <protection locked="0"/>
    </xf>
    <xf numFmtId="0" fontId="0" fillId="17" borderId="0" xfId="0" applyFill="1" applyAlignment="1">
      <alignment vertical="center"/>
    </xf>
    <xf numFmtId="0" fontId="0" fillId="17" borderId="0" xfId="0" applyFill="1" applyAlignment="1">
      <alignment horizontal="right" vertical="center"/>
    </xf>
    <xf numFmtId="164" fontId="0" fillId="18" borderId="0" xfId="0" applyNumberFormat="1" applyFill="1" applyAlignment="1">
      <alignment horizontal="right" vertical="center"/>
    </xf>
    <xf numFmtId="166" fontId="0" fillId="12" borderId="0" xfId="1" applyNumberFormat="1" applyFont="1" applyFill="1"/>
    <xf numFmtId="0" fontId="2" fillId="17" borderId="0" xfId="0" applyFont="1" applyFill="1" applyAlignment="1">
      <alignment vertical="center"/>
    </xf>
    <xf numFmtId="0" fontId="0" fillId="2" borderId="0" xfId="0" applyFill="1" applyAlignment="1">
      <alignment horizontal="left"/>
    </xf>
    <xf numFmtId="17" fontId="11" fillId="2" borderId="0" xfId="0" applyNumberFormat="1" applyFont="1" applyFill="1" applyAlignment="1">
      <alignment horizontal="right" vertical="center"/>
    </xf>
    <xf numFmtId="17" fontId="0" fillId="2" borderId="0" xfId="0" applyNumberFormat="1" applyFill="1" applyAlignment="1">
      <alignment horizontal="right" vertical="center"/>
    </xf>
    <xf numFmtId="0" fontId="21" fillId="2" borderId="0" xfId="0" applyFont="1" applyFill="1" applyAlignment="1">
      <alignment horizontal="left"/>
    </xf>
    <xf numFmtId="49" fontId="22" fillId="2" borderId="0" xfId="0" applyNumberFormat="1" applyFont="1" applyFill="1"/>
    <xf numFmtId="0" fontId="24" fillId="3" borderId="0" xfId="0" applyFont="1" applyFill="1" applyAlignment="1">
      <alignment horizontal="right" wrapText="1"/>
    </xf>
    <xf numFmtId="0" fontId="24" fillId="2" borderId="1" xfId="0" applyFont="1" applyFill="1" applyBorder="1" applyAlignment="1">
      <alignment horizontal="right" wrapText="1"/>
    </xf>
    <xf numFmtId="166" fontId="24" fillId="19" borderId="0" xfId="1" applyNumberFormat="1" applyFont="1" applyFill="1" applyAlignment="1">
      <alignment horizontal="right"/>
    </xf>
    <xf numFmtId="164" fontId="24" fillId="19" borderId="0" xfId="0" applyNumberFormat="1" applyFont="1" applyFill="1"/>
    <xf numFmtId="164" fontId="24" fillId="2" borderId="11" xfId="0" applyNumberFormat="1" applyFont="1" applyFill="1" applyBorder="1"/>
    <xf numFmtId="165" fontId="24" fillId="2" borderId="11" xfId="2" applyNumberFormat="1" applyFont="1" applyFill="1" applyBorder="1"/>
    <xf numFmtId="164" fontId="24" fillId="2" borderId="12" xfId="0" applyNumberFormat="1" applyFont="1" applyFill="1" applyBorder="1"/>
    <xf numFmtId="165" fontId="24" fillId="2" borderId="12" xfId="2" applyNumberFormat="1" applyFont="1" applyFill="1" applyBorder="1"/>
    <xf numFmtId="0" fontId="25" fillId="2" borderId="0" xfId="0" applyFont="1" applyFill="1" applyBorder="1"/>
    <xf numFmtId="0" fontId="24" fillId="2" borderId="0" xfId="0" applyFont="1" applyFill="1" applyBorder="1" applyAlignment="1">
      <alignment horizontal="right" wrapText="1"/>
    </xf>
    <xf numFmtId="165" fontId="24" fillId="2" borderId="11" xfId="0" applyNumberFormat="1" applyFont="1" applyFill="1" applyBorder="1"/>
    <xf numFmtId="165" fontId="24" fillId="2" borderId="0" xfId="0" applyNumberFormat="1" applyFont="1" applyFill="1" applyBorder="1"/>
    <xf numFmtId="165" fontId="24" fillId="2" borderId="12" xfId="0" applyNumberFormat="1" applyFont="1" applyFill="1" applyBorder="1"/>
    <xf numFmtId="1" fontId="0" fillId="2" borderId="0" xfId="0" applyNumberFormat="1" applyFill="1"/>
    <xf numFmtId="164" fontId="24" fillId="2" borderId="0" xfId="0" applyNumberFormat="1" applyFont="1" applyFill="1"/>
    <xf numFmtId="166" fontId="2" fillId="12" borderId="1" xfId="1" applyNumberFormat="1" applyFont="1" applyFill="1" applyBorder="1" applyAlignment="1" applyProtection="1">
      <alignment horizontal="right" vertical="center"/>
      <protection locked="0"/>
    </xf>
    <xf numFmtId="0" fontId="2" fillId="3" borderId="0" xfId="0" applyFont="1" applyFill="1" applyAlignment="1"/>
    <xf numFmtId="171" fontId="0" fillId="2" borderId="0" xfId="1" applyNumberFormat="1" applyFont="1" applyFill="1"/>
    <xf numFmtId="168" fontId="0" fillId="2" borderId="0" xfId="0" applyNumberFormat="1" applyFill="1"/>
    <xf numFmtId="0" fontId="2" fillId="2" borderId="0" xfId="0" applyFont="1" applyFill="1" applyAlignment="1"/>
    <xf numFmtId="0" fontId="0" fillId="3" borderId="0" xfId="0" applyFont="1" applyFill="1" applyAlignment="1"/>
    <xf numFmtId="9" fontId="0" fillId="2" borderId="0" xfId="2" applyNumberFormat="1" applyFont="1" applyFill="1" applyAlignment="1">
      <alignment horizontal="right"/>
    </xf>
    <xf numFmtId="0" fontId="2" fillId="2" borderId="0" xfId="0" applyFont="1" applyFill="1" applyAlignment="1">
      <alignment horizontal="right"/>
    </xf>
    <xf numFmtId="0" fontId="2" fillId="2" borderId="6" xfId="0" applyFont="1" applyFill="1" applyBorder="1" applyAlignment="1">
      <alignment horizontal="right"/>
    </xf>
    <xf numFmtId="165" fontId="0" fillId="11" borderId="4" xfId="1" applyNumberFormat="1" applyFont="1" applyFill="1" applyBorder="1" applyAlignment="1">
      <alignment horizontal="right" vertical="center"/>
    </xf>
    <xf numFmtId="0" fontId="0" fillId="4" borderId="0" xfId="0" applyFill="1" applyAlignment="1">
      <alignment horizontal="left" vertical="center" wrapText="1"/>
    </xf>
    <xf numFmtId="0" fontId="0" fillId="3" borderId="0" xfId="0" applyFill="1" applyAlignment="1">
      <alignment horizontal="left" wrapText="1"/>
    </xf>
    <xf numFmtId="17" fontId="0" fillId="4" borderId="2" xfId="0" applyNumberFormat="1" applyFill="1" applyBorder="1" applyAlignment="1">
      <alignment horizontal="center"/>
    </xf>
    <xf numFmtId="17" fontId="0" fillId="4" borderId="3" xfId="0" applyNumberFormat="1" applyFill="1" applyBorder="1" applyAlignment="1">
      <alignment horizontal="center"/>
    </xf>
    <xf numFmtId="17" fontId="0" fillId="4" borderId="13" xfId="0" applyNumberFormat="1" applyFill="1" applyBorder="1" applyAlignment="1">
      <alignment horizontal="center"/>
    </xf>
    <xf numFmtId="17" fontId="0" fillId="4" borderId="4" xfId="0" applyNumberFormat="1" applyFill="1" applyBorder="1" applyAlignment="1">
      <alignment horizontal="center"/>
    </xf>
    <xf numFmtId="0" fontId="0" fillId="8" borderId="0" xfId="0" applyFill="1" applyAlignment="1">
      <alignment horizontal="right" wrapText="1"/>
    </xf>
    <xf numFmtId="0" fontId="0" fillId="9" borderId="0" xfId="0" applyFill="1" applyAlignment="1">
      <alignment horizontal="right" wrapText="1"/>
    </xf>
    <xf numFmtId="167" fontId="17" fillId="2" borderId="0" xfId="0" applyNumberFormat="1" applyFont="1" applyFill="1" applyAlignment="1">
      <alignment horizontal="center" vertical="center"/>
    </xf>
    <xf numFmtId="0" fontId="17" fillId="2" borderId="0" xfId="0" applyFont="1" applyFill="1" applyAlignment="1">
      <alignment horizontal="left" vertical="center"/>
    </xf>
    <xf numFmtId="0" fontId="23" fillId="2" borderId="0" xfId="0" applyFont="1" applyFill="1" applyBorder="1" applyAlignment="1">
      <alignment horizontal="left" wrapText="1"/>
    </xf>
  </cellXfs>
  <cellStyles count="5">
    <cellStyle name="Comma" xfId="1" builtinId="3"/>
    <cellStyle name="Comma 2" xfId="3" xr:uid="{00000000-0005-0000-0000-000001000000}"/>
    <cellStyle name="Hyperlink" xfId="4" builtinId="8"/>
    <cellStyle name="Normal" xfId="0" builtinId="0"/>
    <cellStyle name="Percent" xfId="2" builtinId="5"/>
  </cellStyles>
  <dxfs count="0"/>
  <tableStyles count="0" defaultTableStyle="TableStyleMedium2" defaultPivotStyle="PivotStyleLight16"/>
  <colors>
    <mruColors>
      <color rgb="FFCBA9E5"/>
      <color rgb="FFE2CFF1"/>
      <color rgb="FFFFCCCC"/>
      <color rgb="FFFF7C80"/>
      <color rgb="FFFF1D1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Cashflow series</a:t>
            </a:r>
          </a:p>
          <a:p>
            <a:pPr>
              <a:defRPr/>
            </a:pP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Cashflow!$C$40</c:f>
              <c:strCache>
                <c:ptCount val="1"/>
                <c:pt idx="0">
                  <c:v>Percentage change</c:v>
                </c:pt>
              </c:strCache>
            </c:strRef>
          </c:tx>
          <c:spPr>
            <a:ln w="28575" cap="rnd">
              <a:solidFill>
                <a:schemeClr val="accent2"/>
              </a:solidFill>
              <a:round/>
            </a:ln>
            <a:effectLst/>
          </c:spPr>
          <c:marker>
            <c:symbol val="none"/>
          </c:marker>
          <c:cat>
            <c:numRef>
              <c:f>Cashflow!$G$38:$BC$38</c:f>
              <c:numCache>
                <c:formatCode>mmm\-yy</c:formatCode>
                <c:ptCount val="24"/>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numCache>
            </c:numRef>
          </c:cat>
          <c:val>
            <c:numRef>
              <c:f>Cashflow!$G$40:$BC$40</c:f>
              <c:numCache>
                <c:formatCode>0%</c:formatCode>
                <c:ptCount val="24"/>
                <c:pt idx="0">
                  <c:v>1.008523602843991</c:v>
                </c:pt>
                <c:pt idx="1">
                  <c:v>0.9995630032428664</c:v>
                </c:pt>
                <c:pt idx="2">
                  <c:v>1.0024811671667231</c:v>
                </c:pt>
                <c:pt idx="3">
                  <c:v>1.0142189287378864</c:v>
                </c:pt>
                <c:pt idx="4">
                  <c:v>1.0210604923576645</c:v>
                </c:pt>
                <c:pt idx="5">
                  <c:v>0.9827089774430271</c:v>
                </c:pt>
                <c:pt idx="6">
                  <c:v>1.0397205280045958</c:v>
                </c:pt>
                <c:pt idx="7">
                  <c:v>1.0192844564106531</c:v>
                </c:pt>
                <c:pt idx="8">
                  <c:v>1.0192844564106531</c:v>
                </c:pt>
                <c:pt idx="9">
                  <c:v>0.98480656026949842</c:v>
                </c:pt>
                <c:pt idx="10">
                  <c:v>1.0020455083400757</c:v>
                </c:pt>
                <c:pt idx="11">
                  <c:v>1.0020455083400757</c:v>
                </c:pt>
                <c:pt idx="12">
                  <c:v>1.0020455083400757</c:v>
                </c:pt>
                <c:pt idx="13">
                  <c:v>1.0020455083400757</c:v>
                </c:pt>
                <c:pt idx="14">
                  <c:v>1.0294902338136167</c:v>
                </c:pt>
                <c:pt idx="15">
                  <c:v>1.0157678710768463</c:v>
                </c:pt>
                <c:pt idx="16">
                  <c:v>1.0157678710768463</c:v>
                </c:pt>
                <c:pt idx="17">
                  <c:v>1.0157678710768463</c:v>
                </c:pt>
                <c:pt idx="18">
                  <c:v>1.0157678710768463</c:v>
                </c:pt>
                <c:pt idx="19">
                  <c:v>1.0157678710768463</c:v>
                </c:pt>
                <c:pt idx="20">
                  <c:v>1.0157678710768463</c:v>
                </c:pt>
                <c:pt idx="21">
                  <c:v>1.0157678710768463</c:v>
                </c:pt>
                <c:pt idx="22">
                  <c:v>1.0157678710768463</c:v>
                </c:pt>
                <c:pt idx="23">
                  <c:v>1.0157678710768463</c:v>
                </c:pt>
              </c:numCache>
            </c:numRef>
          </c:val>
          <c:smooth val="0"/>
          <c:extLst>
            <c:ext xmlns:c16="http://schemas.microsoft.com/office/drawing/2014/chart" uri="{C3380CC4-5D6E-409C-BE32-E72D297353CC}">
              <c16:uniqueId val="{00000000-C3F5-4E4D-B0B2-86183991F693}"/>
            </c:ext>
          </c:extLst>
        </c:ser>
        <c:dLbls>
          <c:showLegendKey val="0"/>
          <c:showVal val="0"/>
          <c:showCatName val="0"/>
          <c:showSerName val="0"/>
          <c:showPercent val="0"/>
          <c:showBubbleSize val="0"/>
        </c:dLbls>
        <c:marker val="1"/>
        <c:smooth val="0"/>
        <c:axId val="446323592"/>
        <c:axId val="446323920"/>
      </c:lineChart>
      <c:lineChart>
        <c:grouping val="standard"/>
        <c:varyColors val="0"/>
        <c:ser>
          <c:idx val="0"/>
          <c:order val="0"/>
          <c:tx>
            <c:strRef>
              <c:f>Cashflow!$C$39</c:f>
              <c:strCache>
                <c:ptCount val="1"/>
                <c:pt idx="0">
                  <c:v>Cash change</c:v>
                </c:pt>
              </c:strCache>
            </c:strRef>
          </c:tx>
          <c:spPr>
            <a:ln w="28575" cap="rnd">
              <a:solidFill>
                <a:schemeClr val="accent1"/>
              </a:solidFill>
              <a:round/>
            </a:ln>
            <a:effectLst/>
          </c:spPr>
          <c:marker>
            <c:symbol val="none"/>
          </c:marker>
          <c:cat>
            <c:numRef>
              <c:f>Cashflow!$G$38:$BC$38</c:f>
              <c:numCache>
                <c:formatCode>mmm\-yy</c:formatCode>
                <c:ptCount val="24"/>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numCache>
            </c:numRef>
          </c:cat>
          <c:val>
            <c:numRef>
              <c:f>Cashflow!$G$39:$BC$39</c:f>
              <c:numCache>
                <c:formatCode>"£"#,##0</c:formatCode>
                <c:ptCount val="24"/>
                <c:pt idx="0">
                  <c:v>60226.025104859364</c:v>
                </c:pt>
                <c:pt idx="1">
                  <c:v>59690.924790885445</c:v>
                </c:pt>
                <c:pt idx="2">
                  <c:v>59865.188847019264</c:v>
                </c:pt>
                <c:pt idx="3">
                  <c:v>60566.133000498929</c:v>
                </c:pt>
                <c:pt idx="4">
                  <c:v>60974.690798411939</c:v>
                </c:pt>
                <c:pt idx="5">
                  <c:v>58684.452579351011</c:v>
                </c:pt>
                <c:pt idx="6">
                  <c:v>62089.012537794675</c:v>
                </c:pt>
                <c:pt idx="7">
                  <c:v>60868.631222582277</c:v>
                </c:pt>
                <c:pt idx="8">
                  <c:v>60868.631222582277</c:v>
                </c:pt>
                <c:pt idx="9">
                  <c:v>58809.713976913088</c:v>
                </c:pt>
                <c:pt idx="10">
                  <c:v>59839.172599747682</c:v>
                </c:pt>
                <c:pt idx="11">
                  <c:v>59839.172599747682</c:v>
                </c:pt>
                <c:pt idx="12">
                  <c:v>59839.172599747682</c:v>
                </c:pt>
                <c:pt idx="13">
                  <c:v>59839.172599747682</c:v>
                </c:pt>
                <c:pt idx="14">
                  <c:v>61478.089845416886</c:v>
                </c:pt>
                <c:pt idx="15">
                  <c:v>60658.631222582284</c:v>
                </c:pt>
                <c:pt idx="16">
                  <c:v>60658.631222582284</c:v>
                </c:pt>
                <c:pt idx="17">
                  <c:v>60658.631222582284</c:v>
                </c:pt>
                <c:pt idx="18">
                  <c:v>60658.631222582284</c:v>
                </c:pt>
                <c:pt idx="19">
                  <c:v>60658.631222582284</c:v>
                </c:pt>
                <c:pt idx="20">
                  <c:v>60658.631222582284</c:v>
                </c:pt>
                <c:pt idx="21">
                  <c:v>60658.631222582284</c:v>
                </c:pt>
                <c:pt idx="22">
                  <c:v>60658.631222582284</c:v>
                </c:pt>
                <c:pt idx="23">
                  <c:v>60658.631222582284</c:v>
                </c:pt>
              </c:numCache>
            </c:numRef>
          </c:val>
          <c:smooth val="0"/>
          <c:extLst>
            <c:ext xmlns:c16="http://schemas.microsoft.com/office/drawing/2014/chart" uri="{C3380CC4-5D6E-409C-BE32-E72D297353CC}">
              <c16:uniqueId val="{00000001-C3F5-4E4D-B0B2-86183991F693}"/>
            </c:ext>
          </c:extLst>
        </c:ser>
        <c:dLbls>
          <c:showLegendKey val="0"/>
          <c:showVal val="0"/>
          <c:showCatName val="0"/>
          <c:showSerName val="0"/>
          <c:showPercent val="0"/>
          <c:showBubbleSize val="0"/>
        </c:dLbls>
        <c:marker val="1"/>
        <c:smooth val="0"/>
        <c:axId val="442515144"/>
        <c:axId val="527505344"/>
      </c:lineChart>
      <c:dateAx>
        <c:axId val="446323592"/>
        <c:scaling>
          <c:orientation val="minMax"/>
        </c:scaling>
        <c:delete val="0"/>
        <c:axPos val="b"/>
        <c:numFmt formatCode="mm/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23920"/>
        <c:crosses val="autoZero"/>
        <c:auto val="1"/>
        <c:lblOffset val="100"/>
        <c:baseTimeUnit val="months"/>
      </c:dateAx>
      <c:valAx>
        <c:axId val="446323920"/>
        <c:scaling>
          <c:orientation val="minMax"/>
          <c:max val="1.25"/>
          <c:min val="0.60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23592"/>
        <c:crosses val="autoZero"/>
        <c:crossBetween val="between"/>
      </c:valAx>
      <c:valAx>
        <c:axId val="527505344"/>
        <c:scaling>
          <c:orientation val="minMax"/>
        </c:scaling>
        <c:delete val="0"/>
        <c:axPos val="r"/>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515144"/>
        <c:crosses val="max"/>
        <c:crossBetween val="between"/>
      </c:valAx>
      <c:dateAx>
        <c:axId val="442515144"/>
        <c:scaling>
          <c:orientation val="minMax"/>
        </c:scaling>
        <c:delete val="1"/>
        <c:axPos val="b"/>
        <c:numFmt formatCode="mmm\-yy" sourceLinked="1"/>
        <c:majorTickMark val="out"/>
        <c:minorTickMark val="none"/>
        <c:tickLblPos val="nextTo"/>
        <c:crossAx val="527505344"/>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600075</xdr:colOff>
      <xdr:row>3</xdr:row>
      <xdr:rowOff>95250</xdr:rowOff>
    </xdr:from>
    <xdr:to>
      <xdr:col>13</xdr:col>
      <xdr:colOff>0</xdr:colOff>
      <xdr:row>6</xdr:row>
      <xdr:rowOff>142876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0075" y="771525"/>
          <a:ext cx="7324725" cy="619126"/>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n-lt"/>
            </a:rPr>
            <a:t>The following calculator</a:t>
          </a:r>
          <a:r>
            <a:rPr lang="en-GB" sz="1100" baseline="0">
              <a:latin typeface="+mn-lt"/>
            </a:rPr>
            <a:t> </a:t>
          </a:r>
          <a:r>
            <a:rPr lang="en-GB" sz="1100">
              <a:latin typeface="+mn-lt"/>
            </a:rPr>
            <a:t>illustrates indicative income levels and cashflow changes that could be expected by an average pharmacy in £ (sterling) for Essential Services provided under the Community Pharmacy Contractual Framework. These figures are based on the funding settlement for 2018/19 and Cat M reimbursement reductions</a:t>
          </a:r>
          <a:r>
            <a:rPr lang="en-GB" sz="1100" baseline="0">
              <a:latin typeface="+mn-lt"/>
            </a:rPr>
            <a:t> from November 2018, and </a:t>
          </a:r>
          <a:r>
            <a:rPr lang="en-GB" sz="1100">
              <a:latin typeface="+mn-lt"/>
            </a:rPr>
            <a:t>are outlined in relation to dispensing volume. </a:t>
          </a:r>
        </a:p>
      </xdr:txBody>
    </xdr:sp>
    <xdr:clientData/>
  </xdr:twoCellAnchor>
  <xdr:twoCellAnchor>
    <xdr:from>
      <xdr:col>0</xdr:col>
      <xdr:colOff>590550</xdr:colOff>
      <xdr:row>7</xdr:row>
      <xdr:rowOff>28575</xdr:rowOff>
    </xdr:from>
    <xdr:to>
      <xdr:col>13</xdr:col>
      <xdr:colOff>19050</xdr:colOff>
      <xdr:row>9</xdr:row>
      <xdr:rowOff>123825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0550" y="1466850"/>
          <a:ext cx="9086850" cy="4762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n-lt"/>
            </a:rPr>
            <a:t>The calculator</a:t>
          </a:r>
          <a:r>
            <a:rPr lang="en-GB" sz="1100" baseline="0">
              <a:latin typeface="+mn-lt"/>
            </a:rPr>
            <a:t> allows you to enter a figure for monthly item volume, from which an indicative monthly income is calculated.  The calculator includes national AIV values for the purposes of calculating indicative reimbursement, these may be substitued for the pharmacy's own AIV values where these are known for a more accurate result. </a:t>
          </a:r>
          <a:endParaRPr lang="en-GB" sz="1100">
            <a:latin typeface="+mn-lt"/>
          </a:endParaRPr>
        </a:p>
      </xdr:txBody>
    </xdr:sp>
    <xdr:clientData/>
  </xdr:twoCellAnchor>
  <xdr:twoCellAnchor editAs="oneCell">
    <xdr:from>
      <xdr:col>12</xdr:col>
      <xdr:colOff>200025</xdr:colOff>
      <xdr:row>22</xdr:row>
      <xdr:rowOff>180975</xdr:rowOff>
    </xdr:from>
    <xdr:to>
      <xdr:col>12</xdr:col>
      <xdr:colOff>1324610</xdr:colOff>
      <xdr:row>26</xdr:row>
      <xdr:rowOff>57785</xdr:rowOff>
    </xdr:to>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87" t="5808" r="5226" b="4100"/>
        <a:stretch/>
      </xdr:blipFill>
      <xdr:spPr bwMode="auto">
        <a:xfrm>
          <a:off x="8543925" y="5314950"/>
          <a:ext cx="1124585" cy="8102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1464945</xdr:colOff>
      <xdr:row>22</xdr:row>
      <xdr:rowOff>231140</xdr:rowOff>
    </xdr:from>
    <xdr:to>
      <xdr:col>12</xdr:col>
      <xdr:colOff>2415540</xdr:colOff>
      <xdr:row>26</xdr:row>
      <xdr:rowOff>55880</xdr:rowOff>
    </xdr:to>
    <xdr:pic>
      <xdr:nvPicPr>
        <xdr:cNvPr id="5" name="Pictur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911" t="4620" r="5894" b="11646"/>
        <a:stretch/>
      </xdr:blipFill>
      <xdr:spPr bwMode="auto">
        <a:xfrm>
          <a:off x="9808845" y="5365115"/>
          <a:ext cx="1283970" cy="75819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338138</xdr:colOff>
      <xdr:row>44</xdr:row>
      <xdr:rowOff>121178</xdr:rowOff>
    </xdr:from>
    <xdr:to>
      <xdr:col>46</xdr:col>
      <xdr:colOff>190500</xdr:colOff>
      <xdr:row>71</xdr:row>
      <xdr:rowOff>166687</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ncorg.sharepoint.com/Users/mdigby/AppData/Local/Microsoft/Windows/INetCache/Content.Outlook/V5Y8V9MT/Forecasting(toMay16itemsApr16cost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 drug tariff"/>
      <sheetName val="Data"/>
      <sheetName val="PrescriptionsForecast"/>
      <sheetName val="MURForecast"/>
      <sheetName val="MURForecast2"/>
      <sheetName val="Ex &amp; CP"/>
      <sheetName val="PreRegTraineesForecast"/>
      <sheetName val="Forecast"/>
      <sheetName val="ContractSum"/>
      <sheetName val="Historic"/>
      <sheetName val="Ts_inc forecast"/>
      <sheetName val="AUR Stoma split"/>
      <sheetName val="Sheet1"/>
      <sheetName val="Items annual"/>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E2" t="str">
            <v>Financial Year Actual/Forecast Accruals Basis</v>
          </cell>
        </row>
        <row r="14">
          <cell r="E14" t="str">
            <v>2005/6 Actual</v>
          </cell>
        </row>
        <row r="15">
          <cell r="E15" t="str">
            <v>2005/6 Actual</v>
          </cell>
        </row>
        <row r="16">
          <cell r="E16" t="str">
            <v>2005/6 Actual</v>
          </cell>
        </row>
        <row r="17">
          <cell r="E17" t="str">
            <v>2005/6 Actual</v>
          </cell>
        </row>
        <row r="18">
          <cell r="E18" t="str">
            <v>2005/6 Actual</v>
          </cell>
        </row>
        <row r="19">
          <cell r="E19" t="str">
            <v>2005/6 Actual</v>
          </cell>
        </row>
        <row r="20">
          <cell r="E20" t="str">
            <v>2005/6 Actual</v>
          </cell>
        </row>
        <row r="21">
          <cell r="E21" t="str">
            <v>2005/6 Actual</v>
          </cell>
        </row>
        <row r="22">
          <cell r="E22" t="str">
            <v>2005/6 Actual</v>
          </cell>
        </row>
        <row r="23">
          <cell r="E23" t="str">
            <v>2005/6 Actual</v>
          </cell>
        </row>
        <row r="24">
          <cell r="E24" t="str">
            <v>2005/6 Actual</v>
          </cell>
        </row>
        <row r="25">
          <cell r="E25" t="str">
            <v>2005/6 Actual</v>
          </cell>
        </row>
        <row r="26">
          <cell r="E26" t="str">
            <v>2006/7 Actual</v>
          </cell>
        </row>
        <row r="27">
          <cell r="E27" t="str">
            <v>2006/7 Actual</v>
          </cell>
        </row>
        <row r="28">
          <cell r="E28" t="str">
            <v>2006/7 Actual</v>
          </cell>
        </row>
        <row r="29">
          <cell r="E29" t="str">
            <v>2006/7 Actual</v>
          </cell>
        </row>
        <row r="30">
          <cell r="E30" t="str">
            <v>2006/7 Actual</v>
          </cell>
        </row>
        <row r="31">
          <cell r="E31" t="str">
            <v>2006/7 Actual</v>
          </cell>
        </row>
        <row r="32">
          <cell r="E32" t="str">
            <v>2006/7 Actual</v>
          </cell>
        </row>
        <row r="33">
          <cell r="E33" t="str">
            <v>2006/7 Actual</v>
          </cell>
        </row>
        <row r="34">
          <cell r="E34" t="str">
            <v>2006/7 Actual</v>
          </cell>
        </row>
        <row r="35">
          <cell r="E35" t="str">
            <v>2006/7 Actual</v>
          </cell>
        </row>
        <row r="36">
          <cell r="E36" t="str">
            <v>2006/7 Actual</v>
          </cell>
        </row>
        <row r="37">
          <cell r="E37" t="str">
            <v>2006/7 Actual</v>
          </cell>
        </row>
        <row r="38">
          <cell r="E38" t="str">
            <v>2007/8 Actual</v>
          </cell>
        </row>
        <row r="39">
          <cell r="E39" t="str">
            <v>2007/8 Actual</v>
          </cell>
        </row>
        <row r="40">
          <cell r="E40" t="str">
            <v>2007/8 Actual</v>
          </cell>
        </row>
        <row r="41">
          <cell r="E41" t="str">
            <v>2007/8 Actual</v>
          </cell>
        </row>
        <row r="42">
          <cell r="E42" t="str">
            <v>2007/8 Actual</v>
          </cell>
        </row>
        <row r="43">
          <cell r="E43" t="str">
            <v>2007/8 Actual</v>
          </cell>
        </row>
        <row r="44">
          <cell r="E44" t="str">
            <v>2007/8 Actual</v>
          </cell>
        </row>
        <row r="45">
          <cell r="E45" t="str">
            <v>2007/8 Actual</v>
          </cell>
        </row>
        <row r="46">
          <cell r="E46" t="str">
            <v>2007/8 Actual</v>
          </cell>
        </row>
        <row r="47">
          <cell r="E47" t="str">
            <v>2007/8 Actual</v>
          </cell>
        </row>
        <row r="48">
          <cell r="E48" t="str">
            <v>2007/8 Actual</v>
          </cell>
        </row>
        <row r="49">
          <cell r="E49" t="str">
            <v>2007/8 Actual</v>
          </cell>
        </row>
        <row r="50">
          <cell r="E50" t="str">
            <v>2008/9 Actual</v>
          </cell>
        </row>
        <row r="51">
          <cell r="E51" t="str">
            <v>2008/9 Actual</v>
          </cell>
        </row>
        <row r="52">
          <cell r="E52" t="str">
            <v>2008/9 Actual</v>
          </cell>
        </row>
        <row r="53">
          <cell r="E53" t="str">
            <v>2008/9 Actual</v>
          </cell>
        </row>
        <row r="54">
          <cell r="E54" t="str">
            <v>2008/9 Actual</v>
          </cell>
        </row>
        <row r="55">
          <cell r="E55" t="str">
            <v>2008/9 Actual</v>
          </cell>
        </row>
        <row r="56">
          <cell r="E56" t="str">
            <v>2008/9 Actual</v>
          </cell>
        </row>
        <row r="57">
          <cell r="E57" t="str">
            <v>2008/9 Actual</v>
          </cell>
        </row>
        <row r="58">
          <cell r="E58" t="str">
            <v>2008/9 Actual</v>
          </cell>
        </row>
        <row r="59">
          <cell r="E59" t="str">
            <v>2008/9 Actual</v>
          </cell>
        </row>
        <row r="60">
          <cell r="E60" t="str">
            <v>2008/9 Actual</v>
          </cell>
        </row>
        <row r="61">
          <cell r="E61" t="str">
            <v>2008/9 Actual</v>
          </cell>
        </row>
        <row r="62">
          <cell r="E62" t="str">
            <v>2009/10 Actual</v>
          </cell>
        </row>
        <row r="63">
          <cell r="E63" t="str">
            <v>2009/10 Actual</v>
          </cell>
        </row>
        <row r="64">
          <cell r="E64" t="str">
            <v>2009/10 Actual</v>
          </cell>
        </row>
        <row r="65">
          <cell r="E65" t="str">
            <v>2009/10 Actual</v>
          </cell>
        </row>
        <row r="66">
          <cell r="E66" t="str">
            <v>2009/10 Actual</v>
          </cell>
        </row>
        <row r="67">
          <cell r="E67" t="str">
            <v>2009/10 Actual</v>
          </cell>
        </row>
        <row r="68">
          <cell r="E68" t="str">
            <v>2009/10 Actual</v>
          </cell>
        </row>
        <row r="69">
          <cell r="E69" t="str">
            <v>2009/10 Actual</v>
          </cell>
        </row>
        <row r="70">
          <cell r="E70" t="str">
            <v>2009/10 Actual</v>
          </cell>
        </row>
        <row r="71">
          <cell r="E71" t="str">
            <v>2009/10 Actual</v>
          </cell>
        </row>
        <row r="72">
          <cell r="E72" t="str">
            <v>2009/10 Actual</v>
          </cell>
        </row>
        <row r="73">
          <cell r="E73" t="str">
            <v>2009/10 Actual</v>
          </cell>
        </row>
        <row r="74">
          <cell r="E74" t="str">
            <v>2010/11 Actual</v>
          </cell>
        </row>
        <row r="75">
          <cell r="E75" t="str">
            <v>2010/11 Actual</v>
          </cell>
        </row>
        <row r="76">
          <cell r="E76" t="str">
            <v>2010/11 Actual</v>
          </cell>
        </row>
        <row r="77">
          <cell r="E77" t="str">
            <v>2010/11 Actual</v>
          </cell>
        </row>
        <row r="78">
          <cell r="E78" t="str">
            <v>2010/11 Actual</v>
          </cell>
        </row>
        <row r="79">
          <cell r="E79" t="str">
            <v>2010/11 Actual</v>
          </cell>
        </row>
        <row r="80">
          <cell r="E80" t="str">
            <v>2010/11 Actual</v>
          </cell>
        </row>
        <row r="81">
          <cell r="E81" t="str">
            <v>2010/11 Actual</v>
          </cell>
        </row>
        <row r="82">
          <cell r="E82" t="str">
            <v>2010/11 Actual</v>
          </cell>
        </row>
        <row r="83">
          <cell r="E83" t="str">
            <v>2010/11 Actual</v>
          </cell>
        </row>
        <row r="84">
          <cell r="E84" t="str">
            <v>2010/11 Actual</v>
          </cell>
        </row>
        <row r="85">
          <cell r="E85" t="str">
            <v>2010/11 Actual</v>
          </cell>
        </row>
        <row r="86">
          <cell r="E86" t="str">
            <v>2011/12 Actual</v>
          </cell>
        </row>
        <row r="87">
          <cell r="E87" t="str">
            <v>2011/12 Actual</v>
          </cell>
        </row>
        <row r="88">
          <cell r="E88" t="str">
            <v>2011/12 Actual</v>
          </cell>
        </row>
        <row r="89">
          <cell r="E89" t="str">
            <v>2011/12 Actual</v>
          </cell>
        </row>
        <row r="90">
          <cell r="E90" t="str">
            <v>2011/12 Actual</v>
          </cell>
        </row>
        <row r="91">
          <cell r="E91" t="str">
            <v>2011/12 Actual</v>
          </cell>
        </row>
        <row r="92">
          <cell r="E92" t="str">
            <v>2011/12 Actual</v>
          </cell>
        </row>
        <row r="93">
          <cell r="E93" t="str">
            <v>2011/12 Actual</v>
          </cell>
        </row>
        <row r="94">
          <cell r="E94" t="str">
            <v>2011/12 Actual</v>
          </cell>
        </row>
        <row r="95">
          <cell r="E95" t="str">
            <v>2011/12 Actual</v>
          </cell>
        </row>
        <row r="96">
          <cell r="E96" t="str">
            <v>2011/12 Actual</v>
          </cell>
        </row>
        <row r="97">
          <cell r="E97" t="str">
            <v>2011/12 Actual</v>
          </cell>
        </row>
        <row r="98">
          <cell r="E98" t="str">
            <v>2012/13 Actual</v>
          </cell>
        </row>
        <row r="99">
          <cell r="E99" t="str">
            <v>2012/13 Actual</v>
          </cell>
        </row>
        <row r="100">
          <cell r="E100" t="str">
            <v>2012/13 Actual</v>
          </cell>
        </row>
        <row r="101">
          <cell r="E101" t="str">
            <v>2012/13 Actual</v>
          </cell>
        </row>
        <row r="102">
          <cell r="E102" t="str">
            <v>2012/13 Actual</v>
          </cell>
        </row>
        <row r="103">
          <cell r="E103" t="str">
            <v>2012/13 Actual</v>
          </cell>
        </row>
        <row r="104">
          <cell r="E104" t="str">
            <v>2012/13 Actual</v>
          </cell>
        </row>
        <row r="105">
          <cell r="E105" t="str">
            <v>2012/13 Actual</v>
          </cell>
        </row>
        <row r="106">
          <cell r="E106" t="str">
            <v>2012/13 Actual</v>
          </cell>
        </row>
        <row r="107">
          <cell r="E107" t="str">
            <v>2012/13 Actual</v>
          </cell>
        </row>
        <row r="108">
          <cell r="E108" t="str">
            <v>2012/13 Actual</v>
          </cell>
        </row>
        <row r="109">
          <cell r="E109" t="str">
            <v>2012/13 Actual</v>
          </cell>
        </row>
        <row r="110">
          <cell r="E110" t="str">
            <v>2013/14 Actual</v>
          </cell>
        </row>
        <row r="111">
          <cell r="E111" t="str">
            <v>2013/14 Actual</v>
          </cell>
        </row>
        <row r="112">
          <cell r="E112" t="str">
            <v>2013/14 Actual</v>
          </cell>
        </row>
        <row r="113">
          <cell r="E113" t="str">
            <v>2013/14 Actual</v>
          </cell>
        </row>
        <row r="114">
          <cell r="E114" t="str">
            <v>2013/14 Actual</v>
          </cell>
        </row>
        <row r="115">
          <cell r="E115" t="str">
            <v>2013/14 Actual</v>
          </cell>
        </row>
        <row r="116">
          <cell r="E116" t="str">
            <v>2013/14 Actual</v>
          </cell>
        </row>
        <row r="117">
          <cell r="E117" t="str">
            <v>2013/14 Actual</v>
          </cell>
        </row>
        <row r="118">
          <cell r="E118" t="str">
            <v>2013/14 Actual</v>
          </cell>
        </row>
        <row r="119">
          <cell r="E119" t="str">
            <v>2013/14 Actual</v>
          </cell>
        </row>
        <row r="120">
          <cell r="E120" t="str">
            <v>2013/14 Actual</v>
          </cell>
        </row>
        <row r="121">
          <cell r="E121" t="str">
            <v>2013/14 Actual</v>
          </cell>
        </row>
        <row r="122">
          <cell r="E122" t="str">
            <v>2014/15 Actual</v>
          </cell>
        </row>
        <row r="123">
          <cell r="E123" t="str">
            <v>2014/15 Actual</v>
          </cell>
        </row>
        <row r="124">
          <cell r="E124" t="str">
            <v>2014/15 Actual</v>
          </cell>
        </row>
        <row r="125">
          <cell r="E125" t="str">
            <v>2014/15 Actual</v>
          </cell>
        </row>
        <row r="126">
          <cell r="E126" t="str">
            <v>2014/15 Actual</v>
          </cell>
        </row>
        <row r="127">
          <cell r="E127" t="str">
            <v>2014/15 Actual</v>
          </cell>
        </row>
        <row r="128">
          <cell r="E128" t="str">
            <v>2014/15 Actual</v>
          </cell>
        </row>
        <row r="129">
          <cell r="E129" t="str">
            <v>2014/15 Actual</v>
          </cell>
        </row>
        <row r="130">
          <cell r="E130" t="str">
            <v>2014/15 Actual</v>
          </cell>
        </row>
        <row r="131">
          <cell r="E131" t="str">
            <v>2014/15 Actual</v>
          </cell>
        </row>
        <row r="132">
          <cell r="E132" t="str">
            <v>2014/15 Actual</v>
          </cell>
        </row>
        <row r="133">
          <cell r="E133" t="str">
            <v>2014/15 Actual</v>
          </cell>
        </row>
        <row r="134">
          <cell r="E134" t="str">
            <v>2015/16 Actual</v>
          </cell>
        </row>
        <row r="135">
          <cell r="E135" t="str">
            <v>2015/16 Actual</v>
          </cell>
        </row>
        <row r="136">
          <cell r="E136" t="str">
            <v>2015/16 Actual</v>
          </cell>
        </row>
        <row r="137">
          <cell r="E137" t="str">
            <v>2015/16 Actual</v>
          </cell>
        </row>
        <row r="138">
          <cell r="E138" t="str">
            <v>2015/16 Actual</v>
          </cell>
        </row>
        <row r="139">
          <cell r="E139" t="str">
            <v>2015/16 Actual</v>
          </cell>
        </row>
        <row r="140">
          <cell r="E140" t="str">
            <v>2015/16 Actual</v>
          </cell>
        </row>
        <row r="141">
          <cell r="E141" t="str">
            <v>2015/16 Actual</v>
          </cell>
        </row>
        <row r="142">
          <cell r="E142" t="str">
            <v>2015/16 Actual</v>
          </cell>
        </row>
        <row r="143">
          <cell r="E143" t="str">
            <v>2015/16 Actual</v>
          </cell>
        </row>
        <row r="144">
          <cell r="E144" t="str">
            <v>2015/16 Actual</v>
          </cell>
        </row>
        <row r="145">
          <cell r="E145" t="str">
            <v>2015/16 Actual</v>
          </cell>
        </row>
        <row r="146">
          <cell r="E146" t="str">
            <v>2016/17 Actual</v>
          </cell>
        </row>
        <row r="147">
          <cell r="E147" t="str">
            <v>2016/17 Forecast</v>
          </cell>
        </row>
        <row r="148">
          <cell r="E148" t="str">
            <v>2016/17 Forecast</v>
          </cell>
        </row>
        <row r="149">
          <cell r="E149" t="str">
            <v>2016/17 Forecast</v>
          </cell>
        </row>
        <row r="150">
          <cell r="E150" t="str">
            <v>2016/17 Forecast</v>
          </cell>
        </row>
        <row r="151">
          <cell r="E151" t="str">
            <v>2016/17 Forecast</v>
          </cell>
        </row>
        <row r="152">
          <cell r="E152" t="str">
            <v>2016/17 Forecast</v>
          </cell>
        </row>
        <row r="153">
          <cell r="E153" t="str">
            <v>2016/17 Forecast</v>
          </cell>
        </row>
        <row r="154">
          <cell r="E154" t="str">
            <v>2016/17 Forecast</v>
          </cell>
        </row>
        <row r="155">
          <cell r="E155" t="str">
            <v>2016/17 Forecast</v>
          </cell>
        </row>
        <row r="156">
          <cell r="E156" t="str">
            <v>2016/17 Forecast</v>
          </cell>
        </row>
        <row r="157">
          <cell r="E157" t="str">
            <v>2016/17 Forecast</v>
          </cell>
        </row>
        <row r="158">
          <cell r="E158" t="str">
            <v>2017/18 Forecast</v>
          </cell>
        </row>
        <row r="159">
          <cell r="E159" t="str">
            <v>2017/18 Forecast</v>
          </cell>
        </row>
        <row r="160">
          <cell r="E160" t="str">
            <v>2017/18 Forecast</v>
          </cell>
        </row>
        <row r="161">
          <cell r="E161" t="str">
            <v>2017/18 Forecast</v>
          </cell>
        </row>
        <row r="162">
          <cell r="E162" t="str">
            <v>2017/18 Forecast</v>
          </cell>
        </row>
        <row r="163">
          <cell r="E163" t="str">
            <v>2017/18 Forecast</v>
          </cell>
        </row>
        <row r="164">
          <cell r="E164" t="str">
            <v>2017/18 Forecast</v>
          </cell>
        </row>
        <row r="165">
          <cell r="E165" t="str">
            <v>2017/18 Forecast</v>
          </cell>
        </row>
        <row r="166">
          <cell r="E166" t="str">
            <v>2017/18 Forecast</v>
          </cell>
        </row>
        <row r="167">
          <cell r="E167" t="str">
            <v>2017/18 Forecast</v>
          </cell>
        </row>
        <row r="168">
          <cell r="E168" t="str">
            <v>2017/18 Forecast</v>
          </cell>
        </row>
        <row r="169">
          <cell r="E169" t="str">
            <v>2017/18 Forecast</v>
          </cell>
        </row>
        <row r="170">
          <cell r="E170" t="str">
            <v>2018/19 Forecast</v>
          </cell>
        </row>
        <row r="171">
          <cell r="E171" t="str">
            <v>2018/19 Forecast</v>
          </cell>
        </row>
        <row r="172">
          <cell r="E172" t="str">
            <v>2018/19 Forecast</v>
          </cell>
        </row>
        <row r="173">
          <cell r="E173" t="str">
            <v>2018/19 Forecast</v>
          </cell>
        </row>
        <row r="174">
          <cell r="E174" t="str">
            <v>2018/19 Forecast</v>
          </cell>
        </row>
        <row r="175">
          <cell r="E175" t="str">
            <v>2018/19 Forecast</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39997558519241921"/>
  </sheetPr>
  <dimension ref="A3:M26"/>
  <sheetViews>
    <sheetView tabSelected="1" workbookViewId="0">
      <selection activeCell="B24" sqref="B24"/>
    </sheetView>
  </sheetViews>
  <sheetFormatPr defaultColWidth="9.140625" defaultRowHeight="15" x14ac:dyDescent="0.25"/>
  <cols>
    <col min="1" max="1" width="9.140625" style="1"/>
    <col min="2" max="2" width="14.28515625" style="1" customWidth="1"/>
    <col min="3" max="12" width="9.140625" style="1"/>
    <col min="13" max="13" width="42.28515625" style="1" customWidth="1"/>
    <col min="14" max="16384" width="9.140625" style="1"/>
  </cols>
  <sheetData>
    <row r="3" spans="2:13" ht="21" x14ac:dyDescent="0.25">
      <c r="B3" s="15" t="s">
        <v>68</v>
      </c>
    </row>
    <row r="9" spans="2:13" s="6" customFormat="1" x14ac:dyDescent="0.25"/>
    <row r="10" spans="2:13" s="6" customFormat="1" x14ac:dyDescent="0.25"/>
    <row r="11" spans="2:13" s="6" customFormat="1" x14ac:dyDescent="0.25"/>
    <row r="12" spans="2:13" ht="25.5" customHeight="1" x14ac:dyDescent="0.25">
      <c r="B12" s="21" t="s">
        <v>9</v>
      </c>
      <c r="C12" s="12" t="s">
        <v>10</v>
      </c>
      <c r="D12" s="3"/>
      <c r="E12" s="3"/>
      <c r="F12" s="3"/>
      <c r="G12" s="3"/>
      <c r="H12" s="3"/>
      <c r="I12" s="3"/>
      <c r="J12" s="3"/>
      <c r="K12" s="3"/>
      <c r="L12" s="3"/>
      <c r="M12" s="3"/>
    </row>
    <row r="13" spans="2:13" ht="27.75" customHeight="1" x14ac:dyDescent="0.25">
      <c r="B13" s="3"/>
      <c r="C13" s="189" t="s">
        <v>69</v>
      </c>
      <c r="D13" s="189"/>
      <c r="E13" s="189"/>
      <c r="F13" s="189"/>
      <c r="G13" s="189"/>
      <c r="H13" s="189"/>
      <c r="I13" s="189"/>
      <c r="J13" s="189"/>
      <c r="K13" s="189"/>
      <c r="L13" s="189"/>
      <c r="M13" s="189"/>
    </row>
    <row r="14" spans="2:13" ht="21.75" customHeight="1" x14ac:dyDescent="0.25">
      <c r="B14" s="5"/>
      <c r="C14" s="12" t="s">
        <v>70</v>
      </c>
      <c r="D14" s="3"/>
      <c r="E14" s="3"/>
      <c r="F14" s="3"/>
      <c r="G14" s="3"/>
      <c r="H14" s="3"/>
      <c r="I14" s="3"/>
      <c r="J14" s="3"/>
      <c r="K14" s="3"/>
      <c r="L14" s="3"/>
      <c r="M14" s="3"/>
    </row>
    <row r="15" spans="2:13" ht="21.75" customHeight="1" x14ac:dyDescent="0.25">
      <c r="B15" s="5"/>
      <c r="C15" s="189" t="s">
        <v>71</v>
      </c>
      <c r="D15" s="189"/>
      <c r="E15" s="189"/>
      <c r="F15" s="189"/>
      <c r="G15" s="189"/>
      <c r="H15" s="189"/>
      <c r="I15" s="189"/>
      <c r="J15" s="189"/>
      <c r="K15" s="189"/>
      <c r="L15" s="189"/>
      <c r="M15" s="189"/>
    </row>
    <row r="16" spans="2:13" s="6" customFormat="1" ht="21.75" customHeight="1" x14ac:dyDescent="0.25">
      <c r="B16" s="5"/>
      <c r="C16" s="189"/>
      <c r="D16" s="189"/>
      <c r="E16" s="189"/>
      <c r="F16" s="189"/>
      <c r="G16" s="189"/>
      <c r="H16" s="189"/>
      <c r="I16" s="189"/>
      <c r="J16" s="189"/>
      <c r="K16" s="189"/>
      <c r="L16" s="189"/>
      <c r="M16" s="189"/>
    </row>
    <row r="17" spans="1:13" ht="27" customHeight="1" x14ac:dyDescent="0.25">
      <c r="B17" s="5"/>
      <c r="C17" s="189" t="s">
        <v>6</v>
      </c>
      <c r="D17" s="189"/>
      <c r="E17" s="189"/>
      <c r="F17" s="189"/>
      <c r="G17" s="189"/>
      <c r="H17" s="189"/>
      <c r="I17" s="189"/>
      <c r="J17" s="189"/>
      <c r="K17" s="189"/>
      <c r="L17" s="189"/>
      <c r="M17" s="189"/>
    </row>
    <row r="18" spans="1:13" s="6" customFormat="1" ht="27" customHeight="1" x14ac:dyDescent="0.25">
      <c r="B18" s="5"/>
      <c r="C18" s="189"/>
      <c r="D18" s="189"/>
      <c r="E18" s="189"/>
      <c r="F18" s="189"/>
      <c r="G18" s="189"/>
      <c r="H18" s="189"/>
      <c r="I18" s="189"/>
      <c r="J18" s="189"/>
      <c r="K18" s="189"/>
      <c r="L18" s="189"/>
      <c r="M18" s="189"/>
    </row>
    <row r="19" spans="1:13" s="6" customFormat="1" ht="27" customHeight="1" x14ac:dyDescent="0.25">
      <c r="B19" s="5"/>
      <c r="C19" s="12" t="s">
        <v>11</v>
      </c>
      <c r="D19" s="9"/>
      <c r="E19" s="9"/>
      <c r="F19" s="9"/>
      <c r="G19" s="7"/>
      <c r="H19" s="7"/>
      <c r="I19" s="7"/>
      <c r="J19" s="7"/>
      <c r="K19" s="7"/>
      <c r="L19" s="7"/>
      <c r="M19" s="7"/>
    </row>
    <row r="20" spans="1:13" s="6" customFormat="1" ht="32.25" customHeight="1" x14ac:dyDescent="0.25">
      <c r="B20" s="5"/>
      <c r="C20" s="12" t="s">
        <v>8</v>
      </c>
      <c r="D20" s="3"/>
      <c r="E20" s="3"/>
      <c r="F20" s="3"/>
      <c r="G20" s="3"/>
      <c r="H20" s="3"/>
      <c r="I20" s="3"/>
      <c r="J20" s="3"/>
      <c r="K20" s="3"/>
      <c r="L20" s="3"/>
      <c r="M20" s="3"/>
    </row>
    <row r="21" spans="1:13" s="6" customFormat="1" x14ac:dyDescent="0.25">
      <c r="B21" s="5"/>
      <c r="C21" s="3"/>
      <c r="D21" s="12"/>
      <c r="E21" s="12"/>
      <c r="F21" s="12"/>
      <c r="G21" s="10"/>
      <c r="H21" s="9"/>
      <c r="I21" s="9"/>
      <c r="J21" s="7"/>
      <c r="K21" s="7"/>
      <c r="L21" s="7"/>
      <c r="M21" s="7"/>
    </row>
    <row r="22" spans="1:13" s="6" customFormat="1" ht="4.5" customHeight="1" x14ac:dyDescent="0.25">
      <c r="B22" s="5"/>
      <c r="C22" s="3"/>
      <c r="D22" s="7"/>
      <c r="E22" s="7"/>
      <c r="F22" s="7"/>
      <c r="G22" s="7"/>
      <c r="H22" s="7"/>
      <c r="I22" s="7"/>
      <c r="J22" s="7"/>
      <c r="K22" s="7"/>
      <c r="L22" s="7"/>
      <c r="M22" s="7"/>
    </row>
    <row r="23" spans="1:13" s="6" customFormat="1" ht="21.75" customHeight="1" x14ac:dyDescent="0.25">
      <c r="B23" s="8"/>
      <c r="D23" s="11"/>
      <c r="E23" s="11"/>
      <c r="F23" s="11"/>
      <c r="G23" s="11"/>
      <c r="H23" s="11"/>
      <c r="I23" s="11"/>
      <c r="J23" s="11"/>
      <c r="K23" s="11"/>
      <c r="L23" s="11"/>
      <c r="M23" s="11"/>
    </row>
    <row r="24" spans="1:13" ht="21.75" customHeight="1" x14ac:dyDescent="0.25">
      <c r="A24" s="6"/>
      <c r="B24" s="14" t="s">
        <v>137</v>
      </c>
      <c r="C24" s="6"/>
      <c r="D24" s="6"/>
      <c r="E24" s="6"/>
      <c r="F24" s="6"/>
      <c r="G24" s="6"/>
      <c r="H24" s="6"/>
      <c r="I24" s="6"/>
      <c r="J24" s="6"/>
      <c r="K24" s="6"/>
      <c r="L24" s="6"/>
      <c r="M24" s="13"/>
    </row>
    <row r="25" spans="1:13" x14ac:dyDescent="0.25">
      <c r="A25" s="6"/>
      <c r="B25" s="6"/>
      <c r="C25" s="6"/>
      <c r="D25" s="6"/>
      <c r="E25" s="6"/>
      <c r="F25" s="6"/>
      <c r="G25" s="6"/>
      <c r="H25" s="6"/>
      <c r="I25" s="6"/>
      <c r="J25" s="6"/>
      <c r="K25" s="6"/>
      <c r="L25" s="6"/>
      <c r="M25" s="6"/>
    </row>
    <row r="26" spans="1:13" x14ac:dyDescent="0.25">
      <c r="A26" s="6"/>
      <c r="B26" s="6"/>
      <c r="C26" s="6"/>
      <c r="D26" s="6"/>
      <c r="E26" s="6"/>
      <c r="F26" s="6"/>
      <c r="G26" s="6"/>
      <c r="H26" s="6"/>
      <c r="I26" s="6"/>
      <c r="J26" s="6"/>
      <c r="K26" s="6"/>
      <c r="L26" s="6"/>
      <c r="M26" s="6"/>
    </row>
  </sheetData>
  <mergeCells count="3">
    <mergeCell ref="C15:M16"/>
    <mergeCell ref="C17:M18"/>
    <mergeCell ref="C13:M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sheetPr>
  <dimension ref="A2:BZ139"/>
  <sheetViews>
    <sheetView zoomScale="80" zoomScaleNormal="80" workbookViewId="0">
      <selection activeCell="AF15" sqref="AF15"/>
    </sheetView>
  </sheetViews>
  <sheetFormatPr defaultRowHeight="15" x14ac:dyDescent="0.25"/>
  <cols>
    <col min="1" max="1" width="9.140625" style="6"/>
    <col min="2" max="2" width="7.7109375" style="13" customWidth="1"/>
    <col min="3" max="3" width="28.140625" style="13" customWidth="1"/>
    <col min="4" max="4" width="10.140625" style="13" hidden="1" customWidth="1"/>
    <col min="5" max="5" width="10.5703125" style="13" hidden="1" customWidth="1"/>
    <col min="6" max="7" width="10.140625" style="13" hidden="1" customWidth="1"/>
    <col min="8" max="15" width="10.140625" style="6" hidden="1" customWidth="1"/>
    <col min="16" max="16" width="10.42578125" style="6" hidden="1" customWidth="1"/>
    <col min="17" max="31" width="10.140625" style="6" hidden="1" customWidth="1"/>
    <col min="32" max="57" width="10.140625" style="6" customWidth="1"/>
    <col min="58" max="58" width="14.28515625" style="6" customWidth="1"/>
    <col min="59" max="59" width="11.42578125" style="6" customWidth="1"/>
    <col min="60" max="60" width="11.28515625" style="6" customWidth="1"/>
    <col min="61" max="61" width="12.140625" style="6" customWidth="1"/>
    <col min="62" max="62" width="23.28515625" style="6" customWidth="1"/>
    <col min="63" max="63" width="15.28515625" style="6" customWidth="1"/>
    <col min="64" max="64" width="21.140625" style="6" customWidth="1"/>
    <col min="65" max="65" width="6.5703125" style="6" customWidth="1"/>
    <col min="66" max="66" width="14.85546875" style="6" customWidth="1"/>
    <col min="67" max="68" width="12" style="6" customWidth="1"/>
    <col min="69" max="69" width="32.140625" style="6" customWidth="1"/>
    <col min="70" max="70" width="9" style="6" customWidth="1"/>
    <col min="71" max="71" width="13.7109375" style="6" customWidth="1"/>
    <col min="72" max="72" width="9.140625" style="6"/>
    <col min="73" max="73" width="7.85546875" style="6" customWidth="1"/>
    <col min="74" max="74" width="6.5703125" style="6" bestFit="1" customWidth="1"/>
    <col min="75" max="16384" width="9.140625" style="6"/>
  </cols>
  <sheetData>
    <row r="2" spans="2:71" ht="21" x14ac:dyDescent="0.25">
      <c r="H2" s="13"/>
      <c r="I2" s="13"/>
      <c r="J2" s="13"/>
      <c r="K2" s="13"/>
      <c r="L2" s="13"/>
      <c r="M2" s="13"/>
      <c r="N2" s="13"/>
      <c r="O2" s="13"/>
      <c r="P2" s="13"/>
      <c r="Q2" s="13"/>
      <c r="R2" s="13"/>
      <c r="S2" s="13"/>
      <c r="T2" s="13"/>
      <c r="AF2" s="15" t="s">
        <v>12</v>
      </c>
      <c r="AG2" s="13"/>
      <c r="AH2" s="13"/>
      <c r="AI2" s="13"/>
      <c r="AJ2" s="13"/>
    </row>
    <row r="3" spans="2:71" x14ac:dyDescent="0.25">
      <c r="H3" s="13"/>
      <c r="I3" s="13"/>
      <c r="J3" s="13"/>
      <c r="K3" s="13"/>
      <c r="L3" s="13"/>
      <c r="M3" s="13"/>
      <c r="N3" s="13"/>
      <c r="O3" s="13"/>
      <c r="P3" s="13"/>
      <c r="Q3" s="13"/>
      <c r="R3" s="13"/>
      <c r="S3" s="13"/>
      <c r="T3" s="13"/>
      <c r="AF3" s="13"/>
      <c r="AG3" s="13"/>
      <c r="AH3" s="13"/>
      <c r="AI3" s="13"/>
      <c r="AJ3" s="13"/>
    </row>
    <row r="4" spans="2:71" ht="36" customHeight="1" x14ac:dyDescent="0.25">
      <c r="H4" s="13"/>
      <c r="I4" s="13"/>
      <c r="J4" s="13"/>
      <c r="K4" s="13"/>
      <c r="L4" s="13"/>
      <c r="M4" s="13"/>
      <c r="N4" s="13"/>
      <c r="O4" s="13"/>
      <c r="P4" s="13"/>
      <c r="Q4" s="13"/>
      <c r="R4" s="13"/>
      <c r="S4" s="13"/>
      <c r="T4" s="13"/>
      <c r="AF4" s="190" t="s">
        <v>122</v>
      </c>
      <c r="AG4" s="190"/>
      <c r="AH4" s="190"/>
      <c r="AI4" s="190"/>
      <c r="AJ4" s="190"/>
      <c r="AK4" s="190"/>
      <c r="AL4" s="190"/>
      <c r="AM4" s="190"/>
      <c r="AN4" s="190"/>
      <c r="AO4" s="190"/>
      <c r="AP4" s="190"/>
      <c r="AQ4" s="190"/>
      <c r="AR4" s="190"/>
      <c r="AS4" s="190"/>
      <c r="AT4" s="190"/>
      <c r="AU4" s="190"/>
      <c r="AV4" s="190"/>
      <c r="AW4" s="190"/>
    </row>
    <row r="5" spans="2:71" x14ac:dyDescent="0.25">
      <c r="H5" s="13"/>
      <c r="I5" s="13"/>
      <c r="J5" s="13"/>
      <c r="K5" s="13"/>
      <c r="L5" s="13"/>
      <c r="M5" s="13"/>
      <c r="N5" s="13"/>
      <c r="O5" s="13"/>
      <c r="P5" s="13"/>
      <c r="Q5" s="13"/>
      <c r="R5" s="13"/>
      <c r="S5" s="13"/>
      <c r="T5" s="13"/>
      <c r="AF5" s="13"/>
      <c r="AG5" s="13"/>
      <c r="AH5" s="13"/>
      <c r="AI5" s="13"/>
      <c r="AJ5" s="13"/>
    </row>
    <row r="6" spans="2:71" ht="17.25" x14ac:dyDescent="0.25">
      <c r="H6" s="13"/>
      <c r="I6" s="13"/>
      <c r="J6" s="13"/>
      <c r="K6" s="13"/>
      <c r="L6" s="13"/>
      <c r="M6" s="13"/>
      <c r="N6" s="13"/>
      <c r="O6" s="13"/>
      <c r="P6" s="13"/>
      <c r="Q6" s="13"/>
      <c r="R6" s="13"/>
      <c r="S6" s="13"/>
      <c r="T6" s="13"/>
      <c r="AF6" s="180" t="s">
        <v>123</v>
      </c>
      <c r="AG6" s="180"/>
      <c r="AH6" s="180"/>
      <c r="AI6" s="180"/>
      <c r="AJ6" s="180"/>
      <c r="AK6" s="180"/>
      <c r="AL6" s="180"/>
      <c r="AM6" s="180"/>
      <c r="AN6" s="180"/>
      <c r="AO6" s="180"/>
      <c r="AP6" s="180"/>
      <c r="AQ6" s="180"/>
      <c r="AR6" s="180"/>
      <c r="AS6" s="180"/>
      <c r="AT6" s="180"/>
      <c r="AU6" s="180"/>
      <c r="AV6" s="180"/>
      <c r="AW6" s="180"/>
      <c r="BG6" s="24" t="s">
        <v>18</v>
      </c>
    </row>
    <row r="7" spans="2:71" x14ac:dyDescent="0.25">
      <c r="H7" s="13"/>
      <c r="I7" s="13"/>
      <c r="J7" s="13"/>
      <c r="K7" s="13"/>
      <c r="L7" s="13"/>
      <c r="M7" s="13"/>
      <c r="N7" s="13"/>
      <c r="O7" s="13"/>
      <c r="P7" s="13"/>
      <c r="Q7" s="13"/>
      <c r="R7" s="13"/>
      <c r="S7" s="13"/>
      <c r="T7" s="13"/>
      <c r="AF7" s="183"/>
      <c r="AG7" s="183"/>
      <c r="AH7" s="183"/>
      <c r="AI7" s="183"/>
      <c r="AJ7" s="183"/>
      <c r="AK7" s="183"/>
      <c r="AL7" s="183"/>
      <c r="AM7" s="183"/>
      <c r="AN7" s="183"/>
      <c r="AO7" s="183"/>
      <c r="AP7" s="183"/>
      <c r="AQ7" s="183"/>
      <c r="AR7" s="183"/>
      <c r="AS7" s="183"/>
      <c r="AT7" s="183"/>
      <c r="AU7" s="183"/>
      <c r="AV7" s="183"/>
      <c r="AW7" s="183"/>
      <c r="BG7" s="4" t="s">
        <v>24</v>
      </c>
    </row>
    <row r="8" spans="2:71" x14ac:dyDescent="0.25">
      <c r="H8" s="13"/>
      <c r="I8" s="13"/>
      <c r="J8" s="13"/>
      <c r="K8" s="13"/>
      <c r="L8" s="13"/>
      <c r="M8" s="13"/>
      <c r="N8" s="13"/>
      <c r="O8" s="13"/>
      <c r="P8" s="13"/>
      <c r="Q8" s="13"/>
      <c r="R8" s="13"/>
      <c r="S8" s="13"/>
      <c r="T8" s="13"/>
      <c r="AF8" s="184" t="s">
        <v>108</v>
      </c>
      <c r="AG8" s="180"/>
      <c r="AH8" s="180"/>
      <c r="AI8" s="180"/>
      <c r="AJ8" s="180"/>
      <c r="AK8" s="180"/>
      <c r="AL8" s="180"/>
      <c r="AM8" s="180"/>
      <c r="AN8" s="180"/>
      <c r="AO8" s="180"/>
      <c r="AP8" s="180"/>
      <c r="AQ8" s="180"/>
      <c r="AR8" s="180"/>
      <c r="AS8" s="180"/>
      <c r="AT8" s="180"/>
      <c r="AU8" s="180"/>
      <c r="AV8" s="180"/>
      <c r="AW8" s="180"/>
      <c r="BG8" s="29" t="s">
        <v>120</v>
      </c>
    </row>
    <row r="9" spans="2:71" ht="22.5" customHeight="1" thickBot="1" x14ac:dyDescent="0.3">
      <c r="H9" s="13"/>
      <c r="I9" s="13"/>
      <c r="J9" s="13"/>
      <c r="K9" s="13"/>
      <c r="L9" s="13"/>
      <c r="M9" s="13"/>
      <c r="N9" s="13"/>
      <c r="O9" s="13"/>
      <c r="P9" s="13"/>
      <c r="Q9" s="13"/>
      <c r="R9" s="13"/>
      <c r="S9" s="13"/>
      <c r="T9" s="13"/>
      <c r="AF9" s="13"/>
      <c r="AG9" s="13"/>
      <c r="AH9" s="162" t="s">
        <v>72</v>
      </c>
      <c r="AI9" s="13"/>
      <c r="AJ9" s="13"/>
      <c r="BG9" s="29" t="s">
        <v>121</v>
      </c>
    </row>
    <row r="10" spans="2:71" s="4" customFormat="1" ht="25.5" customHeight="1" thickBot="1" x14ac:dyDescent="0.3">
      <c r="AF10" s="31"/>
      <c r="AG10" s="31" t="s">
        <v>13</v>
      </c>
      <c r="AH10" s="179">
        <v>7000</v>
      </c>
      <c r="AI10" s="160" t="s">
        <v>14</v>
      </c>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row>
    <row r="11" spans="2:71" ht="16.5" thickTop="1" thickBot="1" x14ac:dyDescent="0.3">
      <c r="B11" s="6"/>
      <c r="F11" s="23"/>
      <c r="G11" s="23"/>
      <c r="H11" s="191" t="s">
        <v>15</v>
      </c>
      <c r="I11" s="192"/>
      <c r="J11" s="192"/>
      <c r="K11" s="192"/>
      <c r="L11" s="192"/>
      <c r="M11" s="194"/>
      <c r="N11" s="191" t="s">
        <v>16</v>
      </c>
      <c r="O11" s="192"/>
      <c r="P11" s="192"/>
      <c r="Q11" s="192"/>
      <c r="R11" s="192"/>
      <c r="S11" s="194"/>
      <c r="T11" s="191" t="s">
        <v>17</v>
      </c>
      <c r="U11" s="192"/>
      <c r="V11" s="193"/>
      <c r="W11" s="192"/>
      <c r="X11" s="192"/>
      <c r="Y11" s="194"/>
      <c r="Z11" s="191" t="s">
        <v>65</v>
      </c>
      <c r="AA11" s="192"/>
      <c r="AB11" s="192"/>
      <c r="AC11" s="192"/>
      <c r="AD11" s="192"/>
      <c r="AE11" s="194"/>
      <c r="AF11" s="191" t="s">
        <v>87</v>
      </c>
      <c r="AG11" s="192"/>
      <c r="AH11" s="193"/>
      <c r="AI11" s="192"/>
      <c r="AJ11" s="192"/>
      <c r="AK11" s="194"/>
      <c r="AL11" s="191" t="s">
        <v>88</v>
      </c>
      <c r="AM11" s="192"/>
      <c r="AN11" s="192"/>
      <c r="AO11" s="192"/>
      <c r="AP11" s="192"/>
      <c r="AQ11" s="194"/>
      <c r="AR11" s="191" t="s">
        <v>106</v>
      </c>
      <c r="AS11" s="192"/>
      <c r="AT11" s="192"/>
      <c r="AU11" s="192"/>
      <c r="AV11" s="192"/>
      <c r="AW11" s="194"/>
      <c r="AX11" s="191" t="s">
        <v>107</v>
      </c>
      <c r="AY11" s="192"/>
      <c r="AZ11" s="192"/>
      <c r="BA11" s="192"/>
      <c r="BB11" s="192"/>
      <c r="BC11" s="194"/>
      <c r="BD11" s="161"/>
      <c r="BE11" s="161"/>
    </row>
    <row r="12" spans="2:71" ht="16.5" customHeight="1" thickTop="1" x14ac:dyDescent="0.25">
      <c r="B12" s="6"/>
      <c r="D12" s="23"/>
      <c r="E12" s="25" t="s">
        <v>19</v>
      </c>
      <c r="F12" s="23"/>
      <c r="G12" s="23"/>
      <c r="H12" s="23"/>
      <c r="I12" s="23"/>
      <c r="J12" s="23"/>
      <c r="K12" s="23"/>
      <c r="L12" s="23"/>
      <c r="M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161"/>
      <c r="AS12" s="161"/>
      <c r="AT12" s="161"/>
      <c r="AU12" s="161"/>
      <c r="AV12" s="161"/>
      <c r="AW12" s="161"/>
      <c r="AX12" s="161"/>
      <c r="AY12" s="161"/>
      <c r="AZ12" s="161"/>
      <c r="BA12" s="161"/>
      <c r="BB12" s="161"/>
      <c r="BC12" s="161"/>
      <c r="BD12" s="161"/>
      <c r="BE12" s="161"/>
    </row>
    <row r="13" spans="2:71" ht="15.75" thickBot="1" x14ac:dyDescent="0.3">
      <c r="B13" s="26"/>
      <c r="C13" s="187" t="s">
        <v>20</v>
      </c>
      <c r="D13" s="27">
        <v>42339</v>
      </c>
      <c r="E13" s="28">
        <v>42370</v>
      </c>
      <c r="F13" s="27">
        <v>42401</v>
      </c>
      <c r="G13" s="27">
        <v>42430</v>
      </c>
      <c r="H13" s="27">
        <v>42461</v>
      </c>
      <c r="I13" s="27">
        <v>42491</v>
      </c>
      <c r="J13" s="27">
        <v>42522</v>
      </c>
      <c r="K13" s="27">
        <v>42552</v>
      </c>
      <c r="L13" s="27">
        <v>42583</v>
      </c>
      <c r="M13" s="27">
        <v>42614</v>
      </c>
      <c r="N13" s="27">
        <v>42644</v>
      </c>
      <c r="O13" s="27">
        <v>42675</v>
      </c>
      <c r="P13" s="27">
        <v>42705</v>
      </c>
      <c r="Q13" s="27">
        <v>42736</v>
      </c>
      <c r="R13" s="27">
        <v>42767</v>
      </c>
      <c r="S13" s="27">
        <v>42795</v>
      </c>
      <c r="T13" s="27">
        <v>42826</v>
      </c>
      <c r="U13" s="27">
        <v>42856</v>
      </c>
      <c r="V13" s="27">
        <v>42887</v>
      </c>
      <c r="W13" s="27">
        <v>42917</v>
      </c>
      <c r="X13" s="27">
        <v>42948</v>
      </c>
      <c r="Y13" s="27">
        <v>42979</v>
      </c>
      <c r="Z13" s="27">
        <v>43009</v>
      </c>
      <c r="AA13" s="27">
        <v>43040</v>
      </c>
      <c r="AB13" s="27">
        <v>43070</v>
      </c>
      <c r="AC13" s="27">
        <v>43101</v>
      </c>
      <c r="AD13" s="27">
        <v>43132</v>
      </c>
      <c r="AE13" s="27">
        <v>43160</v>
      </c>
      <c r="AF13" s="27">
        <v>43191</v>
      </c>
      <c r="AG13" s="27">
        <v>43221</v>
      </c>
      <c r="AH13" s="27">
        <v>43252</v>
      </c>
      <c r="AI13" s="27">
        <v>43282</v>
      </c>
      <c r="AJ13" s="27">
        <v>43313</v>
      </c>
      <c r="AK13" s="27">
        <v>43344</v>
      </c>
      <c r="AL13" s="27">
        <v>43374</v>
      </c>
      <c r="AM13" s="27">
        <v>43405</v>
      </c>
      <c r="AN13" s="27">
        <v>43435</v>
      </c>
      <c r="AO13" s="27">
        <v>43466</v>
      </c>
      <c r="AP13" s="27">
        <v>43497</v>
      </c>
      <c r="AQ13" s="27">
        <v>43525</v>
      </c>
      <c r="AR13" s="27">
        <v>43556</v>
      </c>
      <c r="AS13" s="27">
        <v>43586</v>
      </c>
      <c r="AT13" s="27">
        <v>43617</v>
      </c>
      <c r="AU13" s="27">
        <v>43647</v>
      </c>
      <c r="AV13" s="27">
        <v>43678</v>
      </c>
      <c r="AW13" s="27">
        <v>43709</v>
      </c>
      <c r="AX13" s="27">
        <v>43739</v>
      </c>
      <c r="AY13" s="27">
        <v>43770</v>
      </c>
      <c r="AZ13" s="27">
        <v>43800</v>
      </c>
      <c r="BA13" s="27">
        <v>43831</v>
      </c>
      <c r="BB13" s="27">
        <v>43862</v>
      </c>
      <c r="BC13" s="27">
        <v>43891</v>
      </c>
      <c r="BD13" s="161"/>
      <c r="BE13" s="161"/>
    </row>
    <row r="14" spans="2:71" ht="21.75" customHeight="1" thickBot="1" x14ac:dyDescent="0.3">
      <c r="D14" s="30"/>
      <c r="AR14" s="161"/>
      <c r="AS14" s="161"/>
      <c r="AT14" s="161"/>
      <c r="AU14" s="161"/>
      <c r="AV14" s="161"/>
      <c r="AW14" s="161"/>
      <c r="AX14" s="161"/>
      <c r="AY14" s="161"/>
      <c r="AZ14" s="161"/>
      <c r="BA14" s="161"/>
      <c r="BB14" s="161"/>
      <c r="BC14" s="161"/>
      <c r="BD14" s="161"/>
      <c r="BE14" s="161"/>
    </row>
    <row r="15" spans="2:71" s="31" customFormat="1" ht="22.5" customHeight="1" thickTop="1" thickBot="1" x14ac:dyDescent="0.3">
      <c r="B15" s="6"/>
      <c r="C15" s="20" t="s">
        <v>21</v>
      </c>
      <c r="D15" s="146">
        <v>9.57</v>
      </c>
      <c r="E15" s="147">
        <v>9.39</v>
      </c>
      <c r="F15" s="148">
        <v>9.36</v>
      </c>
      <c r="G15" s="149">
        <v>9.36</v>
      </c>
      <c r="H15" s="150">
        <v>9.36</v>
      </c>
      <c r="I15" s="151">
        <v>9.35</v>
      </c>
      <c r="J15" s="152">
        <v>9.2100000000000009</v>
      </c>
      <c r="K15" s="153">
        <v>9.23</v>
      </c>
      <c r="L15" s="146">
        <v>9.11</v>
      </c>
      <c r="M15" s="147">
        <v>9.16</v>
      </c>
      <c r="N15" s="148">
        <v>9.1997378813501296</v>
      </c>
      <c r="O15" s="149">
        <v>9.1911032383698963</v>
      </c>
      <c r="P15" s="150">
        <v>8.8521555903643367</v>
      </c>
      <c r="Q15" s="151">
        <v>8.7760357150445802</v>
      </c>
      <c r="R15" s="152">
        <v>8.8031808900660327</v>
      </c>
      <c r="S15" s="153">
        <v>8.7668032043033257</v>
      </c>
      <c r="T15" s="146">
        <v>8.7770582110571151</v>
      </c>
      <c r="U15" s="147">
        <v>8.865888071218734</v>
      </c>
      <c r="V15" s="148">
        <v>9.0764590354986101</v>
      </c>
      <c r="W15" s="149">
        <v>9.1331675313078353</v>
      </c>
      <c r="X15" s="150">
        <v>8.8953471890824112</v>
      </c>
      <c r="Y15" s="151">
        <v>8.9861007006386355</v>
      </c>
      <c r="Z15" s="152">
        <v>8.9638144272890177</v>
      </c>
      <c r="AA15" s="153">
        <v>8.879988708320175</v>
      </c>
      <c r="AB15" s="146">
        <v>8.7240726318457558</v>
      </c>
      <c r="AC15" s="147">
        <v>8.627537811307155</v>
      </c>
      <c r="AD15" s="148">
        <v>8.6156278417149608</v>
      </c>
      <c r="AE15" s="149">
        <v>8.5714514059207261</v>
      </c>
      <c r="AF15" s="150">
        <v>8.5618106206045965</v>
      </c>
      <c r="AG15" s="151">
        <v>8.6070576674807935</v>
      </c>
      <c r="AH15" s="152">
        <v>8.6588638907698208</v>
      </c>
      <c r="AI15" s="153">
        <v>8.5211785581956967</v>
      </c>
      <c r="AJ15" s="188">
        <f t="shared" ref="AJ15:AZ15" si="0">AI15+AL35</f>
        <v>8.6955187460831826</v>
      </c>
      <c r="AK15" s="32">
        <f t="shared" si="0"/>
        <v>8.6955187460831826</v>
      </c>
      <c r="AL15" s="33">
        <f t="shared" si="0"/>
        <v>8.6955187460831826</v>
      </c>
      <c r="AM15" s="34">
        <f t="shared" si="0"/>
        <v>8.5484532285353829</v>
      </c>
      <c r="AN15" s="35">
        <f t="shared" si="0"/>
        <v>8.5484532285353829</v>
      </c>
      <c r="AO15" s="36">
        <f t="shared" si="0"/>
        <v>8.5484532285353829</v>
      </c>
      <c r="AP15" s="37">
        <f t="shared" si="0"/>
        <v>8.5484532285353829</v>
      </c>
      <c r="AQ15" s="38">
        <f t="shared" si="0"/>
        <v>8.5484532285353829</v>
      </c>
      <c r="AR15" s="39">
        <f t="shared" si="0"/>
        <v>8.6655187460831833</v>
      </c>
      <c r="AS15" s="32">
        <f t="shared" si="0"/>
        <v>8.6655187460831833</v>
      </c>
      <c r="AT15" s="33">
        <f t="shared" si="0"/>
        <v>8.6655187460831833</v>
      </c>
      <c r="AU15" s="34">
        <f t="shared" si="0"/>
        <v>8.6655187460831833</v>
      </c>
      <c r="AV15" s="35">
        <f t="shared" si="0"/>
        <v>8.6655187460831833</v>
      </c>
      <c r="AW15" s="36">
        <f t="shared" si="0"/>
        <v>8.6655187460831833</v>
      </c>
      <c r="AX15" s="37">
        <f t="shared" si="0"/>
        <v>8.6655187460831833</v>
      </c>
      <c r="AY15" s="38">
        <f t="shared" si="0"/>
        <v>8.6655187460831833</v>
      </c>
      <c r="AZ15" s="39">
        <f t="shared" si="0"/>
        <v>8.6655187460831833</v>
      </c>
      <c r="BA15" s="32">
        <f t="shared" ref="BA15:BB15" si="1">AZ15+BD35</f>
        <v>8.6655187460831833</v>
      </c>
      <c r="BB15" s="33">
        <f t="shared" si="1"/>
        <v>8.6655187460831833</v>
      </c>
      <c r="BC15" s="34">
        <f>BB15+BF35</f>
        <v>8.6655187460831833</v>
      </c>
      <c r="BD15" s="161"/>
      <c r="BE15" s="161"/>
      <c r="BF15" s="6"/>
      <c r="BH15" s="6"/>
      <c r="BI15" s="6"/>
      <c r="BJ15" s="6"/>
      <c r="BK15" s="6"/>
      <c r="BL15" s="6"/>
      <c r="BM15" s="6"/>
      <c r="BN15" s="6"/>
      <c r="BO15" s="6"/>
      <c r="BP15" s="6"/>
      <c r="BQ15" s="6"/>
      <c r="BR15" s="6"/>
      <c r="BS15" s="6"/>
    </row>
    <row r="16" spans="2:71" s="31" customFormat="1" ht="22.5" customHeight="1" thickTop="1" thickBot="1" x14ac:dyDescent="0.3">
      <c r="B16" s="40"/>
      <c r="C16" s="31" t="s">
        <v>23</v>
      </c>
      <c r="D16" s="41"/>
      <c r="E16" s="42">
        <f>AH10</f>
        <v>7000</v>
      </c>
      <c r="F16" s="43">
        <f>E16</f>
        <v>7000</v>
      </c>
      <c r="G16" s="44">
        <f t="shared" ref="G16:X16" si="2">F16</f>
        <v>7000</v>
      </c>
      <c r="H16" s="45">
        <f t="shared" si="2"/>
        <v>7000</v>
      </c>
      <c r="I16" s="46">
        <f t="shared" si="2"/>
        <v>7000</v>
      </c>
      <c r="J16" s="47">
        <f t="shared" si="2"/>
        <v>7000</v>
      </c>
      <c r="K16" s="48">
        <f t="shared" si="2"/>
        <v>7000</v>
      </c>
      <c r="L16" s="145">
        <f t="shared" si="2"/>
        <v>7000</v>
      </c>
      <c r="M16" s="42">
        <f t="shared" si="2"/>
        <v>7000</v>
      </c>
      <c r="N16" s="43">
        <f t="shared" si="2"/>
        <v>7000</v>
      </c>
      <c r="O16" s="44">
        <f t="shared" si="2"/>
        <v>7000</v>
      </c>
      <c r="P16" s="45">
        <f t="shared" si="2"/>
        <v>7000</v>
      </c>
      <c r="Q16" s="46">
        <f t="shared" si="2"/>
        <v>7000</v>
      </c>
      <c r="R16" s="47">
        <f t="shared" si="2"/>
        <v>7000</v>
      </c>
      <c r="S16" s="48">
        <f t="shared" si="2"/>
        <v>7000</v>
      </c>
      <c r="T16" s="145">
        <f>S16</f>
        <v>7000</v>
      </c>
      <c r="U16" s="42">
        <f t="shared" si="2"/>
        <v>7000</v>
      </c>
      <c r="V16" s="43">
        <f t="shared" si="2"/>
        <v>7000</v>
      </c>
      <c r="W16" s="44">
        <f t="shared" si="2"/>
        <v>7000</v>
      </c>
      <c r="X16" s="45">
        <f t="shared" si="2"/>
        <v>7000</v>
      </c>
      <c r="Y16" s="46">
        <f>X16</f>
        <v>7000</v>
      </c>
      <c r="Z16" s="47">
        <f t="shared" ref="Z16:AE16" si="3">Y16</f>
        <v>7000</v>
      </c>
      <c r="AA16" s="48">
        <f t="shared" si="3"/>
        <v>7000</v>
      </c>
      <c r="AB16" s="145">
        <f t="shared" si="3"/>
        <v>7000</v>
      </c>
      <c r="AC16" s="42">
        <f t="shared" si="3"/>
        <v>7000</v>
      </c>
      <c r="AD16" s="43">
        <f>AC16</f>
        <v>7000</v>
      </c>
      <c r="AE16" s="44">
        <f t="shared" si="3"/>
        <v>7000</v>
      </c>
      <c r="AF16" s="45">
        <f t="shared" ref="AF16" si="4">AE16</f>
        <v>7000</v>
      </c>
      <c r="AG16" s="46">
        <f t="shared" ref="AG16" si="5">AF16</f>
        <v>7000</v>
      </c>
      <c r="AH16" s="47">
        <f t="shared" ref="AH16" si="6">AG16</f>
        <v>7000</v>
      </c>
      <c r="AI16" s="48">
        <f t="shared" ref="AI16" si="7">AH16</f>
        <v>7000</v>
      </c>
      <c r="AJ16" s="49">
        <f t="shared" ref="AJ16" si="8">AI16</f>
        <v>7000</v>
      </c>
      <c r="AK16" s="50">
        <f t="shared" ref="AK16" si="9">AJ16</f>
        <v>7000</v>
      </c>
      <c r="AL16" s="51">
        <f t="shared" ref="AL16" si="10">AK16</f>
        <v>7000</v>
      </c>
      <c r="AM16" s="52">
        <f t="shared" ref="AM16" si="11">AL16</f>
        <v>7000</v>
      </c>
      <c r="AN16" s="53">
        <f t="shared" ref="AN16" si="12">AM16</f>
        <v>7000</v>
      </c>
      <c r="AO16" s="54">
        <f t="shared" ref="AO16" si="13">AN16</f>
        <v>7000</v>
      </c>
      <c r="AP16" s="55">
        <f t="shared" ref="AP16" si="14">AO16</f>
        <v>7000</v>
      </c>
      <c r="AQ16" s="56">
        <f t="shared" ref="AQ16" si="15">AP16</f>
        <v>7000</v>
      </c>
      <c r="AR16" s="49">
        <f t="shared" ref="AR16:BC16" si="16">AQ16</f>
        <v>7000</v>
      </c>
      <c r="AS16" s="50">
        <f t="shared" si="16"/>
        <v>7000</v>
      </c>
      <c r="AT16" s="51">
        <f t="shared" si="16"/>
        <v>7000</v>
      </c>
      <c r="AU16" s="52">
        <f t="shared" si="16"/>
        <v>7000</v>
      </c>
      <c r="AV16" s="53">
        <f t="shared" si="16"/>
        <v>7000</v>
      </c>
      <c r="AW16" s="54">
        <f t="shared" si="16"/>
        <v>7000</v>
      </c>
      <c r="AX16" s="55">
        <f t="shared" si="16"/>
        <v>7000</v>
      </c>
      <c r="AY16" s="56">
        <f t="shared" si="16"/>
        <v>7000</v>
      </c>
      <c r="AZ16" s="49">
        <f t="shared" si="16"/>
        <v>7000</v>
      </c>
      <c r="BA16" s="50">
        <f t="shared" si="16"/>
        <v>7000</v>
      </c>
      <c r="BB16" s="51">
        <f t="shared" si="16"/>
        <v>7000</v>
      </c>
      <c r="BC16" s="52">
        <f t="shared" si="16"/>
        <v>7000</v>
      </c>
      <c r="BD16" s="161"/>
      <c r="BE16" s="161"/>
      <c r="BF16" s="6"/>
      <c r="BG16" s="24" t="s">
        <v>22</v>
      </c>
      <c r="BH16" s="58"/>
      <c r="BI16" s="58"/>
      <c r="BJ16" s="58"/>
      <c r="BK16" s="58"/>
      <c r="BL16" s="6"/>
      <c r="BM16" s="6"/>
      <c r="BN16" s="6"/>
      <c r="BO16" s="6"/>
      <c r="BP16" s="6"/>
      <c r="BQ16" s="6"/>
      <c r="BR16" s="6"/>
      <c r="BS16" s="6"/>
    </row>
    <row r="17" spans="1:77" s="31" customFormat="1" ht="22.5" customHeight="1" thickTop="1" thickBot="1" x14ac:dyDescent="0.3">
      <c r="B17" s="6"/>
      <c r="C17" s="31" t="s">
        <v>25</v>
      </c>
      <c r="D17" s="59"/>
      <c r="E17" s="50">
        <f t="shared" ref="E17:AJ17" si="17">E16</f>
        <v>7000</v>
      </c>
      <c r="F17" s="51">
        <f t="shared" si="17"/>
        <v>7000</v>
      </c>
      <c r="G17" s="52">
        <f t="shared" si="17"/>
        <v>7000</v>
      </c>
      <c r="H17" s="53">
        <f t="shared" si="17"/>
        <v>7000</v>
      </c>
      <c r="I17" s="54">
        <f t="shared" si="17"/>
        <v>7000</v>
      </c>
      <c r="J17" s="55">
        <f t="shared" si="17"/>
        <v>7000</v>
      </c>
      <c r="K17" s="56">
        <f t="shared" si="17"/>
        <v>7000</v>
      </c>
      <c r="L17" s="49">
        <f t="shared" si="17"/>
        <v>7000</v>
      </c>
      <c r="M17" s="50">
        <f t="shared" si="17"/>
        <v>7000</v>
      </c>
      <c r="N17" s="51">
        <f t="shared" si="17"/>
        <v>7000</v>
      </c>
      <c r="O17" s="52">
        <f t="shared" si="17"/>
        <v>7000</v>
      </c>
      <c r="P17" s="53">
        <f t="shared" si="17"/>
        <v>7000</v>
      </c>
      <c r="Q17" s="54">
        <f t="shared" si="17"/>
        <v>7000</v>
      </c>
      <c r="R17" s="55">
        <f t="shared" si="17"/>
        <v>7000</v>
      </c>
      <c r="S17" s="56">
        <f t="shared" si="17"/>
        <v>7000</v>
      </c>
      <c r="T17" s="49">
        <f t="shared" si="17"/>
        <v>7000</v>
      </c>
      <c r="U17" s="50">
        <f t="shared" si="17"/>
        <v>7000</v>
      </c>
      <c r="V17" s="51">
        <f t="shared" si="17"/>
        <v>7000</v>
      </c>
      <c r="W17" s="52">
        <f t="shared" si="17"/>
        <v>7000</v>
      </c>
      <c r="X17" s="53">
        <f t="shared" si="17"/>
        <v>7000</v>
      </c>
      <c r="Y17" s="54">
        <f t="shared" si="17"/>
        <v>7000</v>
      </c>
      <c r="Z17" s="55">
        <f t="shared" si="17"/>
        <v>7000</v>
      </c>
      <c r="AA17" s="56">
        <f t="shared" si="17"/>
        <v>7000</v>
      </c>
      <c r="AB17" s="49">
        <f t="shared" si="17"/>
        <v>7000</v>
      </c>
      <c r="AC17" s="50">
        <f t="shared" si="17"/>
        <v>7000</v>
      </c>
      <c r="AD17" s="51">
        <f t="shared" si="17"/>
        <v>7000</v>
      </c>
      <c r="AE17" s="52">
        <f t="shared" si="17"/>
        <v>7000</v>
      </c>
      <c r="AF17" s="53">
        <f t="shared" si="17"/>
        <v>7000</v>
      </c>
      <c r="AG17" s="54">
        <f t="shared" si="17"/>
        <v>7000</v>
      </c>
      <c r="AH17" s="55">
        <f t="shared" si="17"/>
        <v>7000</v>
      </c>
      <c r="AI17" s="56">
        <f t="shared" si="17"/>
        <v>7000</v>
      </c>
      <c r="AJ17" s="49">
        <f t="shared" si="17"/>
        <v>7000</v>
      </c>
      <c r="AK17" s="50">
        <f t="shared" ref="AK17:BC17" si="18">AK16</f>
        <v>7000</v>
      </c>
      <c r="AL17" s="51">
        <f t="shared" si="18"/>
        <v>7000</v>
      </c>
      <c r="AM17" s="52">
        <f t="shared" si="18"/>
        <v>7000</v>
      </c>
      <c r="AN17" s="53">
        <f t="shared" si="18"/>
        <v>7000</v>
      </c>
      <c r="AO17" s="54">
        <f t="shared" si="18"/>
        <v>7000</v>
      </c>
      <c r="AP17" s="55">
        <f t="shared" si="18"/>
        <v>7000</v>
      </c>
      <c r="AQ17" s="56">
        <f t="shared" si="18"/>
        <v>7000</v>
      </c>
      <c r="AR17" s="49">
        <f t="shared" si="18"/>
        <v>7000</v>
      </c>
      <c r="AS17" s="50">
        <f t="shared" si="18"/>
        <v>7000</v>
      </c>
      <c r="AT17" s="51">
        <f t="shared" si="18"/>
        <v>7000</v>
      </c>
      <c r="AU17" s="52">
        <f t="shared" si="18"/>
        <v>7000</v>
      </c>
      <c r="AV17" s="53">
        <f t="shared" si="18"/>
        <v>7000</v>
      </c>
      <c r="AW17" s="54">
        <f t="shared" si="18"/>
        <v>7000</v>
      </c>
      <c r="AX17" s="55">
        <f t="shared" si="18"/>
        <v>7000</v>
      </c>
      <c r="AY17" s="56">
        <f t="shared" si="18"/>
        <v>7000</v>
      </c>
      <c r="AZ17" s="49">
        <f t="shared" si="18"/>
        <v>7000</v>
      </c>
      <c r="BA17" s="50">
        <f t="shared" si="18"/>
        <v>7000</v>
      </c>
      <c r="BB17" s="51">
        <f t="shared" si="18"/>
        <v>7000</v>
      </c>
      <c r="BC17" s="52">
        <f t="shared" si="18"/>
        <v>7000</v>
      </c>
      <c r="BD17" s="161"/>
      <c r="BE17" s="161"/>
      <c r="BF17" s="6"/>
      <c r="BG17" s="57" t="s">
        <v>24</v>
      </c>
      <c r="BH17" s="58"/>
      <c r="BI17" s="58"/>
      <c r="BJ17" s="58"/>
      <c r="BK17" s="58"/>
      <c r="BL17" s="6"/>
      <c r="BM17" s="6"/>
      <c r="BN17" s="6"/>
      <c r="BO17" s="6"/>
      <c r="BP17" s="6"/>
      <c r="BQ17" s="6"/>
      <c r="BR17" s="6"/>
      <c r="BS17" s="6"/>
    </row>
    <row r="18" spans="1:77" s="31" customFormat="1" ht="22.5" customHeight="1" thickTop="1" thickBot="1" x14ac:dyDescent="0.3">
      <c r="A18" s="20"/>
      <c r="B18" s="6"/>
      <c r="C18" s="20" t="s">
        <v>26</v>
      </c>
      <c r="D18" s="60"/>
      <c r="E18" s="60"/>
      <c r="F18" s="61">
        <f t="shared" ref="F18:AK18" si="19">D15*E16</f>
        <v>66990</v>
      </c>
      <c r="G18" s="62">
        <f t="shared" si="19"/>
        <v>65730</v>
      </c>
      <c r="H18" s="63">
        <f t="shared" si="19"/>
        <v>65519.999999999993</v>
      </c>
      <c r="I18" s="64">
        <f t="shared" si="19"/>
        <v>65519.999999999993</v>
      </c>
      <c r="J18" s="65">
        <f t="shared" si="19"/>
        <v>65519.999999999993</v>
      </c>
      <c r="K18" s="66">
        <f t="shared" si="19"/>
        <v>65450</v>
      </c>
      <c r="L18" s="67">
        <f t="shared" si="19"/>
        <v>64470.000000000007</v>
      </c>
      <c r="M18" s="68">
        <f t="shared" si="19"/>
        <v>64610</v>
      </c>
      <c r="N18" s="61">
        <f t="shared" si="19"/>
        <v>63769.999999999993</v>
      </c>
      <c r="O18" s="62">
        <f t="shared" si="19"/>
        <v>64120</v>
      </c>
      <c r="P18" s="63">
        <f t="shared" si="19"/>
        <v>64398.165169450906</v>
      </c>
      <c r="Q18" s="64">
        <f t="shared" si="19"/>
        <v>64337.722668589275</v>
      </c>
      <c r="R18" s="65">
        <f t="shared" si="19"/>
        <v>61965.089132550354</v>
      </c>
      <c r="S18" s="66">
        <f t="shared" si="19"/>
        <v>61432.25000531206</v>
      </c>
      <c r="T18" s="67">
        <f t="shared" si="19"/>
        <v>61622.266230462228</v>
      </c>
      <c r="U18" s="68">
        <f t="shared" si="19"/>
        <v>61367.62243012328</v>
      </c>
      <c r="V18" s="61">
        <f t="shared" si="19"/>
        <v>61439.407477399807</v>
      </c>
      <c r="W18" s="62">
        <f t="shared" si="19"/>
        <v>62061.216498531139</v>
      </c>
      <c r="X18" s="63">
        <f t="shared" si="19"/>
        <v>63535.213248490269</v>
      </c>
      <c r="Y18" s="64">
        <f t="shared" si="19"/>
        <v>63932.172719154849</v>
      </c>
      <c r="Z18" s="65">
        <f t="shared" si="19"/>
        <v>62267.430323576875</v>
      </c>
      <c r="AA18" s="66">
        <f t="shared" si="19"/>
        <v>62902.704904470447</v>
      </c>
      <c r="AB18" s="67">
        <f t="shared" si="19"/>
        <v>62746.700991023121</v>
      </c>
      <c r="AC18" s="68">
        <f t="shared" si="19"/>
        <v>62159.920958241222</v>
      </c>
      <c r="AD18" s="61">
        <f t="shared" si="19"/>
        <v>61068.508422920291</v>
      </c>
      <c r="AE18" s="62">
        <f t="shared" si="19"/>
        <v>60392.764679150088</v>
      </c>
      <c r="AF18" s="63">
        <f t="shared" si="19"/>
        <v>60309.394892004726</v>
      </c>
      <c r="AG18" s="64">
        <f t="shared" si="19"/>
        <v>60000.159841445085</v>
      </c>
      <c r="AH18" s="65">
        <f t="shared" si="19"/>
        <v>59932.674344232175</v>
      </c>
      <c r="AI18" s="66">
        <f t="shared" si="19"/>
        <v>60249.403672365552</v>
      </c>
      <c r="AJ18" s="67">
        <f t="shared" si="19"/>
        <v>60612.047235388745</v>
      </c>
      <c r="AK18" s="68">
        <f t="shared" si="19"/>
        <v>59648.249907369878</v>
      </c>
      <c r="AL18" s="61">
        <f t="shared" ref="AL18:BC18" si="20">AJ15*AK16</f>
        <v>60868.631222582277</v>
      </c>
      <c r="AM18" s="62">
        <f t="shared" si="20"/>
        <v>60868.631222582277</v>
      </c>
      <c r="AN18" s="63">
        <f t="shared" si="20"/>
        <v>60868.631222582277</v>
      </c>
      <c r="AO18" s="64">
        <f t="shared" si="20"/>
        <v>59839.172599747682</v>
      </c>
      <c r="AP18" s="65">
        <f t="shared" si="20"/>
        <v>59839.172599747682</v>
      </c>
      <c r="AQ18" s="66">
        <f t="shared" si="20"/>
        <v>59839.172599747682</v>
      </c>
      <c r="AR18" s="67">
        <f t="shared" si="20"/>
        <v>59839.172599747682</v>
      </c>
      <c r="AS18" s="68">
        <f t="shared" si="20"/>
        <v>59839.172599747682</v>
      </c>
      <c r="AT18" s="61">
        <f t="shared" si="20"/>
        <v>60658.631222582284</v>
      </c>
      <c r="AU18" s="62">
        <f t="shared" si="20"/>
        <v>60658.631222582284</v>
      </c>
      <c r="AV18" s="63">
        <f t="shared" si="20"/>
        <v>60658.631222582284</v>
      </c>
      <c r="AW18" s="64">
        <f t="shared" si="20"/>
        <v>60658.631222582284</v>
      </c>
      <c r="AX18" s="65">
        <f t="shared" si="20"/>
        <v>60658.631222582284</v>
      </c>
      <c r="AY18" s="66">
        <f t="shared" si="20"/>
        <v>60658.631222582284</v>
      </c>
      <c r="AZ18" s="67">
        <f t="shared" si="20"/>
        <v>60658.631222582284</v>
      </c>
      <c r="BA18" s="68">
        <f t="shared" si="20"/>
        <v>60658.631222582284</v>
      </c>
      <c r="BB18" s="61">
        <f t="shared" si="20"/>
        <v>60658.631222582284</v>
      </c>
      <c r="BC18" s="62">
        <f t="shared" si="20"/>
        <v>60658.631222582284</v>
      </c>
      <c r="BD18" s="161"/>
      <c r="BE18" s="161"/>
      <c r="BF18" s="6"/>
      <c r="BG18" s="69" t="s">
        <v>27</v>
      </c>
      <c r="BH18" s="70"/>
      <c r="BI18" s="58"/>
      <c r="BJ18" s="58"/>
      <c r="BK18" s="58"/>
      <c r="BL18" s="6"/>
      <c r="BM18" s="6"/>
      <c r="BN18" s="6"/>
      <c r="BO18" s="6"/>
      <c r="BP18" s="6"/>
      <c r="BQ18" s="6"/>
      <c r="BR18" s="6"/>
      <c r="BS18" s="6"/>
    </row>
    <row r="19" spans="1:77" s="31" customFormat="1" ht="22.5" customHeight="1" thickTop="1" thickBot="1" x14ac:dyDescent="0.3">
      <c r="A19" s="20"/>
      <c r="B19" s="20"/>
      <c r="C19" s="20" t="s">
        <v>28</v>
      </c>
      <c r="D19" s="71"/>
      <c r="E19" s="60"/>
      <c r="F19" s="68">
        <f t="shared" ref="F19:AD19" si="21">-E18</f>
        <v>0</v>
      </c>
      <c r="G19" s="61">
        <f t="shared" si="21"/>
        <v>-66990</v>
      </c>
      <c r="H19" s="62">
        <f t="shared" si="21"/>
        <v>-65730</v>
      </c>
      <c r="I19" s="63">
        <f t="shared" si="21"/>
        <v>-65519.999999999993</v>
      </c>
      <c r="J19" s="64">
        <f t="shared" si="21"/>
        <v>-65519.999999999993</v>
      </c>
      <c r="K19" s="65">
        <f t="shared" si="21"/>
        <v>-65519.999999999993</v>
      </c>
      <c r="L19" s="66">
        <f t="shared" si="21"/>
        <v>-65450</v>
      </c>
      <c r="M19" s="67">
        <f t="shared" si="21"/>
        <v>-64470.000000000007</v>
      </c>
      <c r="N19" s="68">
        <f t="shared" si="21"/>
        <v>-64610</v>
      </c>
      <c r="O19" s="61">
        <f t="shared" si="21"/>
        <v>-63769.999999999993</v>
      </c>
      <c r="P19" s="62">
        <f t="shared" si="21"/>
        <v>-64120</v>
      </c>
      <c r="Q19" s="63">
        <f t="shared" si="21"/>
        <v>-64398.165169450906</v>
      </c>
      <c r="R19" s="64">
        <f t="shared" si="21"/>
        <v>-64337.722668589275</v>
      </c>
      <c r="S19" s="65">
        <f t="shared" si="21"/>
        <v>-61965.089132550354</v>
      </c>
      <c r="T19" s="66">
        <f t="shared" si="21"/>
        <v>-61432.25000531206</v>
      </c>
      <c r="U19" s="67">
        <f t="shared" si="21"/>
        <v>-61622.266230462228</v>
      </c>
      <c r="V19" s="68">
        <f t="shared" si="21"/>
        <v>-61367.62243012328</v>
      </c>
      <c r="W19" s="61">
        <f t="shared" si="21"/>
        <v>-61439.407477399807</v>
      </c>
      <c r="X19" s="62">
        <f t="shared" si="21"/>
        <v>-62061.216498531139</v>
      </c>
      <c r="Y19" s="63">
        <f t="shared" si="21"/>
        <v>-63535.213248490269</v>
      </c>
      <c r="Z19" s="64">
        <f t="shared" si="21"/>
        <v>-63932.172719154849</v>
      </c>
      <c r="AA19" s="65">
        <f t="shared" si="21"/>
        <v>-62267.430323576875</v>
      </c>
      <c r="AB19" s="66">
        <f t="shared" si="21"/>
        <v>-62902.704904470447</v>
      </c>
      <c r="AC19" s="67">
        <f t="shared" si="21"/>
        <v>-62746.700991023121</v>
      </c>
      <c r="AD19" s="68">
        <f t="shared" si="21"/>
        <v>-62159.920958241222</v>
      </c>
      <c r="AE19" s="61">
        <f t="shared" ref="AE19" si="22">-AD18</f>
        <v>-61068.508422920291</v>
      </c>
      <c r="AF19" s="62">
        <f t="shared" ref="AF19:BC19" si="23">-AE18</f>
        <v>-60392.764679150088</v>
      </c>
      <c r="AG19" s="63">
        <f t="shared" si="23"/>
        <v>-60309.394892004726</v>
      </c>
      <c r="AH19" s="64">
        <f t="shared" si="23"/>
        <v>-60000.159841445085</v>
      </c>
      <c r="AI19" s="65">
        <f t="shared" si="23"/>
        <v>-59932.674344232175</v>
      </c>
      <c r="AJ19" s="66">
        <f t="shared" si="23"/>
        <v>-60249.403672365552</v>
      </c>
      <c r="AK19" s="67">
        <f t="shared" si="23"/>
        <v>-60612.047235388745</v>
      </c>
      <c r="AL19" s="68">
        <f t="shared" si="23"/>
        <v>-59648.249907369878</v>
      </c>
      <c r="AM19" s="61">
        <f t="shared" si="23"/>
        <v>-60868.631222582277</v>
      </c>
      <c r="AN19" s="62">
        <f t="shared" si="23"/>
        <v>-60868.631222582277</v>
      </c>
      <c r="AO19" s="63">
        <f t="shared" si="23"/>
        <v>-60868.631222582277</v>
      </c>
      <c r="AP19" s="64">
        <f t="shared" si="23"/>
        <v>-59839.172599747682</v>
      </c>
      <c r="AQ19" s="65">
        <f t="shared" si="23"/>
        <v>-59839.172599747682</v>
      </c>
      <c r="AR19" s="66">
        <f t="shared" si="23"/>
        <v>-59839.172599747682</v>
      </c>
      <c r="AS19" s="67">
        <f t="shared" si="23"/>
        <v>-59839.172599747682</v>
      </c>
      <c r="AT19" s="68">
        <f t="shared" si="23"/>
        <v>-59839.172599747682</v>
      </c>
      <c r="AU19" s="61">
        <f t="shared" si="23"/>
        <v>-60658.631222582284</v>
      </c>
      <c r="AV19" s="62">
        <f t="shared" si="23"/>
        <v>-60658.631222582284</v>
      </c>
      <c r="AW19" s="63">
        <f t="shared" si="23"/>
        <v>-60658.631222582284</v>
      </c>
      <c r="AX19" s="64">
        <f t="shared" si="23"/>
        <v>-60658.631222582284</v>
      </c>
      <c r="AY19" s="65">
        <f t="shared" si="23"/>
        <v>-60658.631222582284</v>
      </c>
      <c r="AZ19" s="66">
        <f t="shared" si="23"/>
        <v>-60658.631222582284</v>
      </c>
      <c r="BA19" s="67">
        <f t="shared" si="23"/>
        <v>-60658.631222582284</v>
      </c>
      <c r="BB19" s="68">
        <f t="shared" si="23"/>
        <v>-60658.631222582284</v>
      </c>
      <c r="BC19" s="61">
        <f t="shared" si="23"/>
        <v>-60658.631222582284</v>
      </c>
      <c r="BD19" s="161"/>
      <c r="BE19" s="161"/>
      <c r="BF19" s="6"/>
      <c r="BG19" s="69" t="s">
        <v>29</v>
      </c>
      <c r="BH19" s="70"/>
      <c r="BI19" s="58"/>
      <c r="BJ19" s="58"/>
      <c r="BK19" s="58"/>
      <c r="BL19" s="6"/>
      <c r="BM19" s="6"/>
      <c r="BN19" s="6"/>
      <c r="BO19" s="6"/>
      <c r="BP19" s="6"/>
      <c r="BQ19" s="6"/>
      <c r="BR19" s="6"/>
      <c r="BS19" s="6"/>
    </row>
    <row r="20" spans="1:77" s="31" customFormat="1" ht="22.5" customHeight="1" thickTop="1" thickBot="1" x14ac:dyDescent="0.3">
      <c r="A20" s="20"/>
      <c r="B20" s="20"/>
      <c r="C20" s="20" t="s">
        <v>30</v>
      </c>
      <c r="D20" s="60"/>
      <c r="E20" s="60"/>
      <c r="F20" s="68">
        <v>0</v>
      </c>
      <c r="G20" s="61">
        <f t="shared" ref="G20:AL20" si="24">E15*E16</f>
        <v>65730</v>
      </c>
      <c r="H20" s="62">
        <f t="shared" si="24"/>
        <v>65519.999999999993</v>
      </c>
      <c r="I20" s="63">
        <f t="shared" si="24"/>
        <v>65519.999999999993</v>
      </c>
      <c r="J20" s="64">
        <f t="shared" si="24"/>
        <v>65519.999999999993</v>
      </c>
      <c r="K20" s="65">
        <f t="shared" si="24"/>
        <v>65450</v>
      </c>
      <c r="L20" s="66">
        <f t="shared" si="24"/>
        <v>64470.000000000007</v>
      </c>
      <c r="M20" s="67">
        <f t="shared" si="24"/>
        <v>64610</v>
      </c>
      <c r="N20" s="68">
        <f t="shared" si="24"/>
        <v>63769.999999999993</v>
      </c>
      <c r="O20" s="61">
        <f t="shared" si="24"/>
        <v>64120</v>
      </c>
      <c r="P20" s="62">
        <f t="shared" si="24"/>
        <v>64398.165169450906</v>
      </c>
      <c r="Q20" s="63">
        <f t="shared" si="24"/>
        <v>64337.722668589275</v>
      </c>
      <c r="R20" s="64">
        <f t="shared" si="24"/>
        <v>61965.089132550354</v>
      </c>
      <c r="S20" s="65">
        <f t="shared" si="24"/>
        <v>61432.25000531206</v>
      </c>
      <c r="T20" s="66">
        <f t="shared" si="24"/>
        <v>61622.266230462228</v>
      </c>
      <c r="U20" s="67">
        <f t="shared" si="24"/>
        <v>61367.62243012328</v>
      </c>
      <c r="V20" s="68">
        <f t="shared" si="24"/>
        <v>61439.407477399807</v>
      </c>
      <c r="W20" s="61">
        <f t="shared" si="24"/>
        <v>62061.216498531139</v>
      </c>
      <c r="X20" s="62">
        <f t="shared" si="24"/>
        <v>63535.213248490269</v>
      </c>
      <c r="Y20" s="63">
        <f t="shared" si="24"/>
        <v>63932.172719154849</v>
      </c>
      <c r="Z20" s="64">
        <f t="shared" si="24"/>
        <v>62267.430323576875</v>
      </c>
      <c r="AA20" s="65">
        <f t="shared" si="24"/>
        <v>62902.704904470447</v>
      </c>
      <c r="AB20" s="66">
        <f t="shared" si="24"/>
        <v>62746.700991023121</v>
      </c>
      <c r="AC20" s="67">
        <f t="shared" si="24"/>
        <v>62159.920958241222</v>
      </c>
      <c r="AD20" s="68">
        <f t="shared" si="24"/>
        <v>61068.508422920291</v>
      </c>
      <c r="AE20" s="61">
        <f t="shared" si="24"/>
        <v>60392.764679150088</v>
      </c>
      <c r="AF20" s="62">
        <f t="shared" si="24"/>
        <v>60309.394892004726</v>
      </c>
      <c r="AG20" s="63">
        <f t="shared" si="24"/>
        <v>60000.159841445085</v>
      </c>
      <c r="AH20" s="64">
        <f t="shared" si="24"/>
        <v>59932.674344232175</v>
      </c>
      <c r="AI20" s="65">
        <f t="shared" si="24"/>
        <v>60249.403672365552</v>
      </c>
      <c r="AJ20" s="66">
        <f t="shared" si="24"/>
        <v>60612.047235388745</v>
      </c>
      <c r="AK20" s="67">
        <f t="shared" si="24"/>
        <v>59648.249907369878</v>
      </c>
      <c r="AL20" s="68">
        <f t="shared" si="24"/>
        <v>60868.631222582277</v>
      </c>
      <c r="AM20" s="61">
        <f t="shared" ref="AM20:BC20" si="25">AK15*AK16</f>
        <v>60868.631222582277</v>
      </c>
      <c r="AN20" s="62">
        <f t="shared" si="25"/>
        <v>60868.631222582277</v>
      </c>
      <c r="AO20" s="63">
        <f t="shared" si="25"/>
        <v>59839.172599747682</v>
      </c>
      <c r="AP20" s="64">
        <f t="shared" si="25"/>
        <v>59839.172599747682</v>
      </c>
      <c r="AQ20" s="65">
        <f t="shared" si="25"/>
        <v>59839.172599747682</v>
      </c>
      <c r="AR20" s="66">
        <f t="shared" si="25"/>
        <v>59839.172599747682</v>
      </c>
      <c r="AS20" s="67">
        <f t="shared" si="25"/>
        <v>59839.172599747682</v>
      </c>
      <c r="AT20" s="68">
        <f t="shared" si="25"/>
        <v>60658.631222582284</v>
      </c>
      <c r="AU20" s="61">
        <f t="shared" si="25"/>
        <v>60658.631222582284</v>
      </c>
      <c r="AV20" s="62">
        <f t="shared" si="25"/>
        <v>60658.631222582284</v>
      </c>
      <c r="AW20" s="63">
        <f t="shared" si="25"/>
        <v>60658.631222582284</v>
      </c>
      <c r="AX20" s="64">
        <f t="shared" si="25"/>
        <v>60658.631222582284</v>
      </c>
      <c r="AY20" s="65">
        <f t="shared" si="25"/>
        <v>60658.631222582284</v>
      </c>
      <c r="AZ20" s="66">
        <f t="shared" si="25"/>
        <v>60658.631222582284</v>
      </c>
      <c r="BA20" s="67">
        <f t="shared" si="25"/>
        <v>60658.631222582284</v>
      </c>
      <c r="BB20" s="68">
        <f t="shared" si="25"/>
        <v>60658.631222582284</v>
      </c>
      <c r="BC20" s="61">
        <f t="shared" si="25"/>
        <v>60658.631222582284</v>
      </c>
      <c r="BD20" s="161"/>
      <c r="BE20" s="161"/>
      <c r="BF20" s="6"/>
      <c r="BG20" s="69" t="s">
        <v>31</v>
      </c>
      <c r="BH20" s="70"/>
      <c r="BI20" s="58"/>
      <c r="BJ20" s="58"/>
      <c r="BK20" s="58"/>
      <c r="BL20" s="6"/>
      <c r="BM20" s="6"/>
      <c r="BN20" s="6"/>
      <c r="BO20" s="6"/>
      <c r="BP20" s="6"/>
      <c r="BQ20" s="6"/>
      <c r="BR20" s="6"/>
      <c r="BS20" s="6"/>
      <c r="BT20" s="6"/>
      <c r="BW20" s="77"/>
      <c r="BX20" s="77"/>
      <c r="BY20" s="77"/>
    </row>
    <row r="21" spans="1:77" s="31" customFormat="1" ht="22.5" customHeight="1" thickTop="1" thickBot="1" x14ac:dyDescent="0.3">
      <c r="A21" s="20"/>
      <c r="B21" s="20"/>
      <c r="C21" s="72" t="s">
        <v>32</v>
      </c>
      <c r="D21" s="73">
        <f t="shared" ref="D21" si="26">D20+D19+D18</f>
        <v>0</v>
      </c>
      <c r="E21" s="73">
        <f t="shared" ref="E21:AJ21" si="27">E20+E19+E18</f>
        <v>0</v>
      </c>
      <c r="F21" s="73">
        <f t="shared" si="27"/>
        <v>66990</v>
      </c>
      <c r="G21" s="73">
        <f t="shared" si="27"/>
        <v>64470</v>
      </c>
      <c r="H21" s="73">
        <f t="shared" si="27"/>
        <v>65309.999999999985</v>
      </c>
      <c r="I21" s="73">
        <f t="shared" si="27"/>
        <v>65519.999999999993</v>
      </c>
      <c r="J21" s="73">
        <f t="shared" si="27"/>
        <v>65519.999999999993</v>
      </c>
      <c r="K21" s="73">
        <f t="shared" si="27"/>
        <v>65380.000000000007</v>
      </c>
      <c r="L21" s="73">
        <f t="shared" si="27"/>
        <v>63490.000000000015</v>
      </c>
      <c r="M21" s="73">
        <f t="shared" si="27"/>
        <v>64749.999999999993</v>
      </c>
      <c r="N21" s="73">
        <f t="shared" si="27"/>
        <v>62929.999999999985</v>
      </c>
      <c r="O21" s="73">
        <f t="shared" si="27"/>
        <v>64470.000000000007</v>
      </c>
      <c r="P21" s="73">
        <f t="shared" si="27"/>
        <v>64676.330338901811</v>
      </c>
      <c r="Q21" s="73">
        <f t="shared" si="27"/>
        <v>64277.280167727644</v>
      </c>
      <c r="R21" s="73">
        <f t="shared" si="27"/>
        <v>59592.455596511434</v>
      </c>
      <c r="S21" s="73">
        <f t="shared" si="27"/>
        <v>60899.410878073766</v>
      </c>
      <c r="T21" s="73">
        <f t="shared" si="27"/>
        <v>61812.282455612396</v>
      </c>
      <c r="U21" s="73">
        <f t="shared" si="27"/>
        <v>61112.978629784331</v>
      </c>
      <c r="V21" s="73">
        <f t="shared" si="27"/>
        <v>61511.192524676335</v>
      </c>
      <c r="W21" s="73">
        <f t="shared" si="27"/>
        <v>62683.025519662471</v>
      </c>
      <c r="X21" s="73">
        <f t="shared" si="27"/>
        <v>65009.209998449398</v>
      </c>
      <c r="Y21" s="73">
        <f t="shared" si="27"/>
        <v>64329.132189819429</v>
      </c>
      <c r="Z21" s="73">
        <f t="shared" si="27"/>
        <v>60602.687927998901</v>
      </c>
      <c r="AA21" s="73">
        <f t="shared" si="27"/>
        <v>63537.97948536402</v>
      </c>
      <c r="AB21" s="73">
        <f t="shared" si="27"/>
        <v>62590.697077575795</v>
      </c>
      <c r="AC21" s="73">
        <f t="shared" si="27"/>
        <v>61573.140925459324</v>
      </c>
      <c r="AD21" s="73">
        <f t="shared" si="27"/>
        <v>59977.09588759936</v>
      </c>
      <c r="AE21" s="73">
        <f t="shared" si="27"/>
        <v>59717.020935379885</v>
      </c>
      <c r="AF21" s="73">
        <f t="shared" si="27"/>
        <v>60226.025104859364</v>
      </c>
      <c r="AG21" s="73">
        <f t="shared" si="27"/>
        <v>59690.924790885445</v>
      </c>
      <c r="AH21" s="73">
        <f t="shared" si="27"/>
        <v>59865.188847019264</v>
      </c>
      <c r="AI21" s="73">
        <f t="shared" si="27"/>
        <v>60566.133000498929</v>
      </c>
      <c r="AJ21" s="73">
        <f t="shared" si="27"/>
        <v>60974.690798411939</v>
      </c>
      <c r="AK21" s="73">
        <f t="shared" ref="AK21:BC21" si="28">AK20+AK19+AK18</f>
        <v>58684.452579351011</v>
      </c>
      <c r="AL21" s="73">
        <f t="shared" si="28"/>
        <v>62089.012537794675</v>
      </c>
      <c r="AM21" s="73">
        <f t="shared" si="28"/>
        <v>60868.631222582277</v>
      </c>
      <c r="AN21" s="73">
        <f t="shared" si="28"/>
        <v>60868.631222582277</v>
      </c>
      <c r="AO21" s="73">
        <f t="shared" si="28"/>
        <v>58809.713976913088</v>
      </c>
      <c r="AP21" s="73">
        <f t="shared" si="28"/>
        <v>59839.172599747682</v>
      </c>
      <c r="AQ21" s="73">
        <f t="shared" si="28"/>
        <v>59839.172599747682</v>
      </c>
      <c r="AR21" s="73">
        <f t="shared" si="28"/>
        <v>59839.172599747682</v>
      </c>
      <c r="AS21" s="73">
        <f t="shared" si="28"/>
        <v>59839.172599747682</v>
      </c>
      <c r="AT21" s="73">
        <f t="shared" si="28"/>
        <v>61478.089845416886</v>
      </c>
      <c r="AU21" s="73">
        <f t="shared" si="28"/>
        <v>60658.631222582284</v>
      </c>
      <c r="AV21" s="73">
        <f t="shared" si="28"/>
        <v>60658.631222582284</v>
      </c>
      <c r="AW21" s="73">
        <f t="shared" si="28"/>
        <v>60658.631222582284</v>
      </c>
      <c r="AX21" s="73">
        <f t="shared" si="28"/>
        <v>60658.631222582284</v>
      </c>
      <c r="AY21" s="73">
        <f t="shared" si="28"/>
        <v>60658.631222582284</v>
      </c>
      <c r="AZ21" s="73">
        <f t="shared" si="28"/>
        <v>60658.631222582284</v>
      </c>
      <c r="BA21" s="73">
        <f t="shared" si="28"/>
        <v>60658.631222582284</v>
      </c>
      <c r="BB21" s="73">
        <f t="shared" si="28"/>
        <v>60658.631222582284</v>
      </c>
      <c r="BC21" s="73">
        <f t="shared" si="28"/>
        <v>60658.631222582284</v>
      </c>
      <c r="BD21" s="161"/>
      <c r="BE21" s="161"/>
      <c r="BF21" s="6"/>
      <c r="BG21" s="69" t="s">
        <v>33</v>
      </c>
      <c r="BH21" s="70"/>
      <c r="BI21" s="58"/>
      <c r="BJ21" s="58"/>
      <c r="BK21" s="58"/>
      <c r="BL21" s="6"/>
      <c r="BM21" s="6"/>
      <c r="BN21" s="6"/>
      <c r="BO21" s="6"/>
      <c r="BP21" s="6"/>
      <c r="BQ21" s="6"/>
      <c r="BR21" s="6"/>
      <c r="BS21" s="6"/>
    </row>
    <row r="22" spans="1:77" s="31" customFormat="1" ht="22.5" customHeight="1" thickTop="1" x14ac:dyDescent="0.25">
      <c r="A22" s="20"/>
      <c r="B22" s="74"/>
      <c r="C22" s="13"/>
      <c r="D22" s="13"/>
      <c r="E22" s="13"/>
      <c r="F22" s="13"/>
      <c r="G22" s="6"/>
      <c r="H22" s="6"/>
      <c r="I22" s="6"/>
      <c r="J22" s="6"/>
      <c r="K22" s="6"/>
      <c r="L22" s="6"/>
      <c r="M22" s="6"/>
      <c r="N22" s="6"/>
      <c r="O22" s="6"/>
      <c r="P22" s="6"/>
      <c r="Q22" s="6"/>
      <c r="R22" s="6"/>
      <c r="S22" s="6"/>
      <c r="T22" s="6"/>
      <c r="U22" s="6"/>
      <c r="V22" s="6"/>
      <c r="W22" s="17"/>
      <c r="X22" s="6"/>
      <c r="Y22" s="6"/>
      <c r="Z22" s="6"/>
      <c r="AA22" s="6"/>
      <c r="AB22" s="6"/>
      <c r="AC22" s="6"/>
      <c r="AD22" s="6"/>
      <c r="AE22" s="6"/>
      <c r="AF22" s="6"/>
      <c r="AG22" s="6"/>
      <c r="AH22" s="6"/>
      <c r="AI22" s="6"/>
      <c r="AJ22" s="6"/>
      <c r="AK22" s="6"/>
      <c r="AL22" s="6"/>
      <c r="AM22" s="6"/>
      <c r="AN22" s="6"/>
      <c r="AO22" s="6"/>
      <c r="AP22" s="6"/>
      <c r="AQ22" s="161"/>
      <c r="AR22" s="161"/>
      <c r="AS22" s="161"/>
      <c r="AT22" s="161"/>
      <c r="AU22" s="161"/>
      <c r="AV22" s="161"/>
      <c r="AW22" s="161"/>
      <c r="AX22" s="161"/>
      <c r="AY22" s="161"/>
      <c r="AZ22" s="161"/>
      <c r="BA22" s="161"/>
      <c r="BB22" s="161"/>
      <c r="BD22" s="161"/>
      <c r="BE22" s="161"/>
      <c r="BF22" s="6"/>
      <c r="BG22" s="69" t="s">
        <v>67</v>
      </c>
      <c r="BI22" s="58"/>
      <c r="BJ22" s="58"/>
      <c r="BK22" s="58"/>
      <c r="BL22" s="6"/>
      <c r="BM22" s="6"/>
      <c r="BN22" s="6"/>
      <c r="BO22" s="6"/>
      <c r="BP22" s="6"/>
    </row>
    <row r="23" spans="1:77" s="31" customFormat="1" ht="18.75" customHeight="1" thickBot="1" x14ac:dyDescent="0.3">
      <c r="A23" s="20"/>
      <c r="B23" s="74"/>
      <c r="C23" s="13"/>
      <c r="D23" s="13"/>
      <c r="E23" s="13"/>
      <c r="F23" s="13"/>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161"/>
      <c r="AR23" s="161"/>
      <c r="AS23" s="161"/>
      <c r="AT23" s="161"/>
      <c r="AU23" s="161"/>
      <c r="AV23" s="161"/>
      <c r="AW23" s="161"/>
      <c r="AX23" s="161"/>
      <c r="AY23" s="161"/>
      <c r="AZ23" s="161"/>
      <c r="BA23" s="161"/>
      <c r="BB23" s="161"/>
      <c r="BD23" s="161"/>
      <c r="BE23" s="161"/>
      <c r="BF23" s="6"/>
      <c r="BG23" s="69"/>
      <c r="BH23" s="70"/>
      <c r="BI23" s="58"/>
      <c r="BJ23" s="58"/>
      <c r="BK23" s="58"/>
      <c r="BL23" s="6"/>
      <c r="BM23" s="6"/>
      <c r="BO23" s="6"/>
    </row>
    <row r="24" spans="1:77" s="31" customFormat="1" ht="18.75" customHeight="1" thickTop="1" thickBot="1" x14ac:dyDescent="0.3">
      <c r="A24" s="20"/>
      <c r="B24" s="74"/>
      <c r="C24" s="75" t="s">
        <v>34</v>
      </c>
      <c r="D24" s="76"/>
      <c r="E24" s="76"/>
      <c r="F24" s="76"/>
      <c r="G24" s="61">
        <f t="shared" ref="G24:U24" si="29">E16*$BK$65</f>
        <v>677.82383817797313</v>
      </c>
      <c r="H24" s="62">
        <f t="shared" si="29"/>
        <v>677.82383817797313</v>
      </c>
      <c r="I24" s="63">
        <f t="shared" si="29"/>
        <v>677.82383817797313</v>
      </c>
      <c r="J24" s="64">
        <f t="shared" si="29"/>
        <v>677.82383817797313</v>
      </c>
      <c r="K24" s="65">
        <f t="shared" si="29"/>
        <v>677.82383817797313</v>
      </c>
      <c r="L24" s="66">
        <f t="shared" si="29"/>
        <v>677.82383817797313</v>
      </c>
      <c r="M24" s="67">
        <f t="shared" si="29"/>
        <v>677.82383817797313</v>
      </c>
      <c r="N24" s="68">
        <f t="shared" si="29"/>
        <v>677.82383817797313</v>
      </c>
      <c r="O24" s="61">
        <f t="shared" si="29"/>
        <v>677.82383817797313</v>
      </c>
      <c r="P24" s="62">
        <f t="shared" si="29"/>
        <v>677.82383817797313</v>
      </c>
      <c r="Q24" s="63">
        <f t="shared" si="29"/>
        <v>677.82383817797313</v>
      </c>
      <c r="R24" s="64">
        <f t="shared" si="29"/>
        <v>677.82383817797313</v>
      </c>
      <c r="S24" s="65">
        <f t="shared" si="29"/>
        <v>677.82383817797313</v>
      </c>
      <c r="T24" s="66">
        <f t="shared" si="29"/>
        <v>677.82383817797313</v>
      </c>
      <c r="U24" s="67">
        <f t="shared" si="29"/>
        <v>677.82383817797313</v>
      </c>
      <c r="V24" s="68">
        <f t="shared" ref="V24:AG24" si="30">T16*$BK$72</f>
        <v>658.64791741711269</v>
      </c>
      <c r="W24" s="61">
        <f t="shared" si="30"/>
        <v>658.64791741711269</v>
      </c>
      <c r="X24" s="62">
        <f t="shared" si="30"/>
        <v>658.64791741711269</v>
      </c>
      <c r="Y24" s="63">
        <f t="shared" si="30"/>
        <v>658.64791741711269</v>
      </c>
      <c r="Z24" s="64">
        <f t="shared" si="30"/>
        <v>658.64791741711269</v>
      </c>
      <c r="AA24" s="65">
        <f t="shared" si="30"/>
        <v>658.64791741711269</v>
      </c>
      <c r="AB24" s="66">
        <f t="shared" si="30"/>
        <v>658.64791741711269</v>
      </c>
      <c r="AC24" s="67">
        <f t="shared" si="30"/>
        <v>658.64791741711269</v>
      </c>
      <c r="AD24" s="68">
        <f t="shared" si="30"/>
        <v>658.64791741711269</v>
      </c>
      <c r="AE24" s="61">
        <f t="shared" si="30"/>
        <v>658.64791741711269</v>
      </c>
      <c r="AF24" s="62">
        <f t="shared" si="30"/>
        <v>658.64791741711269</v>
      </c>
      <c r="AG24" s="63">
        <f t="shared" si="30"/>
        <v>658.64791741711269</v>
      </c>
      <c r="AH24" s="64">
        <f t="shared" ref="AH24:AS24" si="31">AF16*$BK$80</f>
        <v>648.53466723646829</v>
      </c>
      <c r="AI24" s="65">
        <f t="shared" si="31"/>
        <v>648.53466723646829</v>
      </c>
      <c r="AJ24" s="66">
        <f t="shared" si="31"/>
        <v>648.53466723646829</v>
      </c>
      <c r="AK24" s="67">
        <f t="shared" si="31"/>
        <v>648.53466723646829</v>
      </c>
      <c r="AL24" s="68">
        <f t="shared" si="31"/>
        <v>648.53466723646829</v>
      </c>
      <c r="AM24" s="61">
        <f t="shared" si="31"/>
        <v>648.53466723646829</v>
      </c>
      <c r="AN24" s="62">
        <f t="shared" si="31"/>
        <v>648.53466723646829</v>
      </c>
      <c r="AO24" s="63">
        <f t="shared" si="31"/>
        <v>648.53466723646829</v>
      </c>
      <c r="AP24" s="64">
        <f t="shared" si="31"/>
        <v>648.53466723646829</v>
      </c>
      <c r="AQ24" s="65">
        <f t="shared" si="31"/>
        <v>648.53466723646829</v>
      </c>
      <c r="AR24" s="66">
        <f t="shared" si="31"/>
        <v>648.53466723646829</v>
      </c>
      <c r="AS24" s="67">
        <f t="shared" si="31"/>
        <v>648.53466723646829</v>
      </c>
      <c r="AT24" s="68">
        <f t="shared" ref="AT24:BC24" si="32">AR16*$BK$88</f>
        <v>648.53466723646829</v>
      </c>
      <c r="AU24" s="61">
        <f t="shared" si="32"/>
        <v>648.53466723646829</v>
      </c>
      <c r="AV24" s="62">
        <f t="shared" si="32"/>
        <v>648.53466723646829</v>
      </c>
      <c r="AW24" s="63">
        <f t="shared" si="32"/>
        <v>648.53466723646829</v>
      </c>
      <c r="AX24" s="64">
        <f t="shared" si="32"/>
        <v>648.53466723646829</v>
      </c>
      <c r="AY24" s="65">
        <f t="shared" si="32"/>
        <v>648.53466723646829</v>
      </c>
      <c r="AZ24" s="66">
        <f t="shared" si="32"/>
        <v>648.53466723646829</v>
      </c>
      <c r="BA24" s="67">
        <f t="shared" si="32"/>
        <v>648.53466723646829</v>
      </c>
      <c r="BB24" s="68">
        <f t="shared" si="32"/>
        <v>648.53466723646829</v>
      </c>
      <c r="BC24" s="61">
        <f t="shared" si="32"/>
        <v>648.53466723646829</v>
      </c>
      <c r="BD24" s="161"/>
      <c r="BE24" s="161"/>
      <c r="BF24" s="6"/>
      <c r="BG24" s="29"/>
      <c r="BH24" s="13"/>
      <c r="BI24" s="6"/>
      <c r="BJ24" s="6"/>
      <c r="BK24" s="6"/>
      <c r="BL24" s="6"/>
      <c r="BM24" s="6"/>
      <c r="BN24" s="77"/>
      <c r="BO24" s="78"/>
      <c r="BP24" s="77"/>
      <c r="BQ24" s="78"/>
      <c r="BR24" s="77"/>
      <c r="BS24" s="77"/>
      <c r="BT24" s="77"/>
    </row>
    <row r="25" spans="1:77" s="31" customFormat="1" ht="18.75" customHeight="1" thickTop="1" thickBot="1" x14ac:dyDescent="0.3">
      <c r="A25" s="20"/>
      <c r="C25" s="75" t="s">
        <v>35</v>
      </c>
      <c r="D25" s="76"/>
      <c r="E25" s="76"/>
      <c r="F25" s="76"/>
      <c r="G25" s="61">
        <f t="shared" ref="G25:Q25" si="33">IF(E16&lt;$BH$103,0,IF(E16&lt;$BH$104,$BK$103,IF(E16&lt;$BH$105,$BK$104,$BK$105)))</f>
        <v>2091.6666666666665</v>
      </c>
      <c r="H25" s="62">
        <f t="shared" si="33"/>
        <v>2091.6666666666665</v>
      </c>
      <c r="I25" s="63">
        <f t="shared" si="33"/>
        <v>2091.6666666666665</v>
      </c>
      <c r="J25" s="64">
        <f t="shared" si="33"/>
        <v>2091.6666666666665</v>
      </c>
      <c r="K25" s="65">
        <f t="shared" si="33"/>
        <v>2091.6666666666665</v>
      </c>
      <c r="L25" s="66">
        <f t="shared" si="33"/>
        <v>2091.6666666666665</v>
      </c>
      <c r="M25" s="67">
        <f t="shared" si="33"/>
        <v>2091.6666666666665</v>
      </c>
      <c r="N25" s="68">
        <f t="shared" si="33"/>
        <v>2091.6666666666665</v>
      </c>
      <c r="O25" s="61">
        <f t="shared" si="33"/>
        <v>2091.6666666666665</v>
      </c>
      <c r="P25" s="62">
        <f t="shared" si="33"/>
        <v>2091.6666666666665</v>
      </c>
      <c r="Q25" s="63">
        <f t="shared" si="33"/>
        <v>2091.6666666666665</v>
      </c>
      <c r="R25" s="64">
        <f>IF(P16&lt;$BH$110,0,IF(P16&lt;$BH$111,$BK$110,IF(P16&lt;$BH$112,$BK$111,$BK$112)))</f>
        <v>1673.3333333333333</v>
      </c>
      <c r="S25" s="65">
        <f>IF(R16&lt;$BH$110,0,IF(R16&lt;$BH$111,$BK$110,IF(R16&lt;$BH$112,$BK$111,$BK$112)))</f>
        <v>1673.3333333333333</v>
      </c>
      <c r="T25" s="66">
        <f>IF(S16&lt;$BH$110,0,IF(S16&lt;$BH$111,$BK$110,IF(S16&lt;$BH$112,$BK$111,$BK$112)))</f>
        <v>1673.3333333333333</v>
      </c>
      <c r="U25" s="67">
        <f>IF(T16&lt;$BH$110,0,IF(T16&lt;$BH$111,$BK$110,IF(T16&lt;$BH$112,$BK$111,$BK$112)))</f>
        <v>1673.3333333333333</v>
      </c>
      <c r="V25" s="68">
        <f t="shared" ref="V25:AG25" si="34">IF(U16&lt;$BH$117,0,IF(U16&lt;$BH$118,$BK$117,IF(U16&lt;$BH$119,$BK$118,$BK$119)))</f>
        <v>1255</v>
      </c>
      <c r="W25" s="61">
        <f t="shared" si="34"/>
        <v>1255</v>
      </c>
      <c r="X25" s="62">
        <f t="shared" si="34"/>
        <v>1255</v>
      </c>
      <c r="Y25" s="63">
        <f t="shared" si="34"/>
        <v>1255</v>
      </c>
      <c r="Z25" s="64">
        <f t="shared" si="34"/>
        <v>1255</v>
      </c>
      <c r="AA25" s="65">
        <f t="shared" si="34"/>
        <v>1255</v>
      </c>
      <c r="AB25" s="66">
        <f t="shared" si="34"/>
        <v>1255</v>
      </c>
      <c r="AC25" s="67">
        <f t="shared" si="34"/>
        <v>1255</v>
      </c>
      <c r="AD25" s="68">
        <f t="shared" si="34"/>
        <v>1255</v>
      </c>
      <c r="AE25" s="61">
        <f t="shared" si="34"/>
        <v>1255</v>
      </c>
      <c r="AF25" s="62">
        <f t="shared" si="34"/>
        <v>1255</v>
      </c>
      <c r="AG25" s="63">
        <f t="shared" si="34"/>
        <v>1255</v>
      </c>
      <c r="AH25" s="64">
        <f t="shared" ref="AH25:AS25" si="35">IF(AG16&lt;$BH$124,0,IF(AG16&lt;$BH$125,$BK$124,IF(AG16&lt;$BH$126,$BK$125,$BK$126)))</f>
        <v>1255</v>
      </c>
      <c r="AI25" s="65">
        <f t="shared" si="35"/>
        <v>1255</v>
      </c>
      <c r="AJ25" s="66">
        <f t="shared" si="35"/>
        <v>1255</v>
      </c>
      <c r="AK25" s="67">
        <f t="shared" si="35"/>
        <v>1255</v>
      </c>
      <c r="AL25" s="68">
        <f t="shared" si="35"/>
        <v>1255</v>
      </c>
      <c r="AM25" s="61">
        <f t="shared" si="35"/>
        <v>1255</v>
      </c>
      <c r="AN25" s="62">
        <f t="shared" si="35"/>
        <v>1255</v>
      </c>
      <c r="AO25" s="63">
        <f t="shared" si="35"/>
        <v>1255</v>
      </c>
      <c r="AP25" s="64">
        <f t="shared" si="35"/>
        <v>1255</v>
      </c>
      <c r="AQ25" s="65">
        <f t="shared" si="35"/>
        <v>1255</v>
      </c>
      <c r="AR25" s="66">
        <f t="shared" si="35"/>
        <v>1255</v>
      </c>
      <c r="AS25" s="67">
        <f t="shared" si="35"/>
        <v>1255</v>
      </c>
      <c r="AT25" s="68">
        <f t="shared" ref="AT25:BC25" si="36">IF(AS16&lt;$BH$131,0,IF(AS16&lt;$BH$132,$BK$131,IF(AS16&lt;$BH$133,$BK$132,$BK$133)))</f>
        <v>1255</v>
      </c>
      <c r="AU25" s="61">
        <f t="shared" si="36"/>
        <v>1255</v>
      </c>
      <c r="AV25" s="62">
        <f t="shared" si="36"/>
        <v>1255</v>
      </c>
      <c r="AW25" s="63">
        <f t="shared" si="36"/>
        <v>1255</v>
      </c>
      <c r="AX25" s="64">
        <f t="shared" si="36"/>
        <v>1255</v>
      </c>
      <c r="AY25" s="65">
        <f t="shared" si="36"/>
        <v>1255</v>
      </c>
      <c r="AZ25" s="66">
        <f t="shared" si="36"/>
        <v>1255</v>
      </c>
      <c r="BA25" s="67">
        <f t="shared" si="36"/>
        <v>1255</v>
      </c>
      <c r="BB25" s="68">
        <f t="shared" si="36"/>
        <v>1255</v>
      </c>
      <c r="BC25" s="61">
        <f t="shared" si="36"/>
        <v>1255</v>
      </c>
      <c r="BD25" s="161"/>
      <c r="BE25" s="161"/>
      <c r="BF25" s="6"/>
      <c r="BG25" s="79" t="s">
        <v>36</v>
      </c>
      <c r="BH25" s="80"/>
      <c r="BI25" s="80"/>
      <c r="BJ25" s="80"/>
      <c r="BK25" s="80"/>
      <c r="BL25" s="6"/>
      <c r="BM25" s="6"/>
      <c r="BN25" s="81"/>
      <c r="BO25" s="82"/>
      <c r="BP25" s="77"/>
      <c r="BQ25" s="83"/>
      <c r="BR25" s="77"/>
      <c r="BS25" s="77"/>
      <c r="BT25" s="77"/>
    </row>
    <row r="26" spans="1:77" s="31" customFormat="1" ht="18.75" customHeight="1" thickTop="1" thickBot="1" x14ac:dyDescent="0.3">
      <c r="A26" s="20"/>
      <c r="B26" s="74"/>
      <c r="C26" s="75" t="s">
        <v>37</v>
      </c>
      <c r="D26" s="76"/>
      <c r="E26" s="76"/>
      <c r="F26" s="76"/>
      <c r="G26" s="61">
        <f t="shared" ref="G26:Q26" si="37">E16*$BK$63+125+200</f>
        <v>6625</v>
      </c>
      <c r="H26" s="62">
        <f t="shared" si="37"/>
        <v>6625</v>
      </c>
      <c r="I26" s="63">
        <f t="shared" si="37"/>
        <v>6625</v>
      </c>
      <c r="J26" s="64">
        <f t="shared" si="37"/>
        <v>6625</v>
      </c>
      <c r="K26" s="65">
        <f t="shared" si="37"/>
        <v>6625</v>
      </c>
      <c r="L26" s="66">
        <f t="shared" si="37"/>
        <v>6625</v>
      </c>
      <c r="M26" s="67">
        <f t="shared" si="37"/>
        <v>6625</v>
      </c>
      <c r="N26" s="68">
        <f t="shared" si="37"/>
        <v>6625</v>
      </c>
      <c r="O26" s="61">
        <f t="shared" si="37"/>
        <v>6625</v>
      </c>
      <c r="P26" s="62">
        <f t="shared" si="37"/>
        <v>6625</v>
      </c>
      <c r="Q26" s="63">
        <f t="shared" si="37"/>
        <v>6625</v>
      </c>
      <c r="R26" s="64">
        <v>0</v>
      </c>
      <c r="S26" s="65">
        <v>0</v>
      </c>
      <c r="T26" s="66">
        <v>0</v>
      </c>
      <c r="U26" s="67">
        <v>0</v>
      </c>
      <c r="V26" s="68">
        <v>0</v>
      </c>
      <c r="W26" s="61">
        <v>0</v>
      </c>
      <c r="X26" s="62">
        <v>0</v>
      </c>
      <c r="Y26" s="63">
        <v>0</v>
      </c>
      <c r="Z26" s="64">
        <v>0</v>
      </c>
      <c r="AA26" s="65">
        <v>0</v>
      </c>
      <c r="AB26" s="66">
        <v>0</v>
      </c>
      <c r="AC26" s="67">
        <v>0</v>
      </c>
      <c r="AD26" s="68">
        <v>0</v>
      </c>
      <c r="AE26" s="61">
        <v>0</v>
      </c>
      <c r="AF26" s="62">
        <v>0</v>
      </c>
      <c r="AG26" s="63">
        <v>0</v>
      </c>
      <c r="AH26" s="64">
        <v>0</v>
      </c>
      <c r="AI26" s="65">
        <v>0</v>
      </c>
      <c r="AJ26" s="66">
        <v>0</v>
      </c>
      <c r="AK26" s="67">
        <v>0</v>
      </c>
      <c r="AL26" s="68">
        <v>0</v>
      </c>
      <c r="AM26" s="61">
        <v>0</v>
      </c>
      <c r="AN26" s="62">
        <v>0</v>
      </c>
      <c r="AO26" s="63">
        <v>0</v>
      </c>
      <c r="AP26" s="64">
        <v>0</v>
      </c>
      <c r="AQ26" s="65">
        <v>0</v>
      </c>
      <c r="AR26" s="66">
        <v>0</v>
      </c>
      <c r="AS26" s="67">
        <v>0</v>
      </c>
      <c r="AT26" s="68">
        <v>0</v>
      </c>
      <c r="AU26" s="61">
        <v>0</v>
      </c>
      <c r="AV26" s="62">
        <v>0</v>
      </c>
      <c r="AW26" s="63">
        <v>0</v>
      </c>
      <c r="AX26" s="64">
        <v>0</v>
      </c>
      <c r="AY26" s="65">
        <v>0</v>
      </c>
      <c r="AZ26" s="66">
        <v>0</v>
      </c>
      <c r="BA26" s="67">
        <v>0</v>
      </c>
      <c r="BB26" s="68">
        <v>0</v>
      </c>
      <c r="BC26" s="61">
        <v>0</v>
      </c>
      <c r="BD26" s="161"/>
      <c r="BE26" s="161"/>
      <c r="BF26" s="6"/>
      <c r="BG26" s="80"/>
      <c r="BH26" s="80"/>
      <c r="BI26" s="80"/>
      <c r="BJ26" s="196" t="s">
        <v>0</v>
      </c>
      <c r="BK26" s="196" t="s">
        <v>1</v>
      </c>
      <c r="BL26" s="6"/>
      <c r="BM26" s="6"/>
      <c r="BN26" s="81"/>
      <c r="BO26" s="82"/>
      <c r="BP26" s="77"/>
      <c r="BQ26" s="77"/>
      <c r="BR26" s="77"/>
      <c r="BS26" s="77"/>
      <c r="BT26" s="77"/>
    </row>
    <row r="27" spans="1:77" s="31" customFormat="1" ht="18.75" customHeight="1" thickTop="1" thickBot="1" x14ac:dyDescent="0.3">
      <c r="A27" s="20"/>
      <c r="B27" s="74"/>
      <c r="C27" s="75" t="s">
        <v>38</v>
      </c>
      <c r="D27" s="76"/>
      <c r="E27" s="76"/>
      <c r="F27" s="76"/>
      <c r="G27" s="61">
        <f t="shared" ref="G27:M27" si="38">(IF(E16&lt;$BH$29,$BK$28,IF(E16&lt;$BH$30,$BK$29,IF(E16&lt;$BH$31,$BK$30,E16*$BJ$31))))</f>
        <v>3947.9999999999995</v>
      </c>
      <c r="H27" s="62">
        <f t="shared" si="38"/>
        <v>3947.9999999999995</v>
      </c>
      <c r="I27" s="63">
        <f t="shared" si="38"/>
        <v>3947.9999999999995</v>
      </c>
      <c r="J27" s="64">
        <f t="shared" si="38"/>
        <v>3947.9999999999995</v>
      </c>
      <c r="K27" s="65">
        <f t="shared" si="38"/>
        <v>3947.9999999999995</v>
      </c>
      <c r="L27" s="66">
        <f t="shared" si="38"/>
        <v>3947.9999999999995</v>
      </c>
      <c r="M27" s="67">
        <f t="shared" si="38"/>
        <v>3947.9999999999995</v>
      </c>
      <c r="N27" s="68">
        <f>(IF(L16&lt;$BH$45,$BK$44,IF(L16&lt;$BH$46,$BK$45,IF(L16&lt;$BH$47,$BK$46,L16*$BJ$47))))</f>
        <v>3066</v>
      </c>
      <c r="O27" s="61">
        <f>(IF(M16&lt;$BH$45,$BK$44,IF(M16&lt;$BH$46,$BK$45,IF(M16&lt;$BH$47,$BK$46,M16*$BJ$47))))</f>
        <v>3066</v>
      </c>
      <c r="P27" s="62">
        <f>(IF(N16&lt;$BH$53,$BK$52,IF(N16&lt;$BH$54,$BK$53,IF(N16&lt;$BH$55,$BK$54,N16*$BJ$55))))</f>
        <v>3654</v>
      </c>
      <c r="Q27" s="63">
        <f>(IF(O16&lt;$BH$53,$BK$52,IF(O16&lt;$BH$54,$BK$53,IF(O16&lt;$BH$55,$BK$54,O16*$BJ$55))))</f>
        <v>3654</v>
      </c>
      <c r="R27" s="64">
        <v>0</v>
      </c>
      <c r="S27" s="65">
        <v>0</v>
      </c>
      <c r="T27" s="66">
        <v>0</v>
      </c>
      <c r="U27" s="67">
        <v>0</v>
      </c>
      <c r="V27" s="68">
        <v>0</v>
      </c>
      <c r="W27" s="61">
        <v>0</v>
      </c>
      <c r="X27" s="62">
        <v>0</v>
      </c>
      <c r="Y27" s="63">
        <v>0</v>
      </c>
      <c r="Z27" s="64">
        <v>0</v>
      </c>
      <c r="AA27" s="65">
        <v>0</v>
      </c>
      <c r="AB27" s="66">
        <v>0</v>
      </c>
      <c r="AC27" s="67">
        <v>0</v>
      </c>
      <c r="AD27" s="68">
        <v>0</v>
      </c>
      <c r="AE27" s="61">
        <v>0</v>
      </c>
      <c r="AF27" s="62">
        <v>0</v>
      </c>
      <c r="AG27" s="63">
        <v>0</v>
      </c>
      <c r="AH27" s="64">
        <v>0</v>
      </c>
      <c r="AI27" s="65">
        <v>0</v>
      </c>
      <c r="AJ27" s="66">
        <v>0</v>
      </c>
      <c r="AK27" s="67">
        <v>0</v>
      </c>
      <c r="AL27" s="68">
        <v>0</v>
      </c>
      <c r="AM27" s="61">
        <v>0</v>
      </c>
      <c r="AN27" s="62">
        <v>0</v>
      </c>
      <c r="AO27" s="63">
        <v>0</v>
      </c>
      <c r="AP27" s="64">
        <v>0</v>
      </c>
      <c r="AQ27" s="65">
        <v>0</v>
      </c>
      <c r="AR27" s="66">
        <v>0</v>
      </c>
      <c r="AS27" s="67">
        <v>0</v>
      </c>
      <c r="AT27" s="68">
        <v>0</v>
      </c>
      <c r="AU27" s="61">
        <v>0</v>
      </c>
      <c r="AV27" s="62">
        <v>0</v>
      </c>
      <c r="AW27" s="63">
        <v>0</v>
      </c>
      <c r="AX27" s="64">
        <v>0</v>
      </c>
      <c r="AY27" s="65">
        <v>0</v>
      </c>
      <c r="AZ27" s="66">
        <v>0</v>
      </c>
      <c r="BA27" s="67">
        <v>0</v>
      </c>
      <c r="BB27" s="68">
        <v>0</v>
      </c>
      <c r="BC27" s="61">
        <v>0</v>
      </c>
      <c r="BD27" s="161"/>
      <c r="BE27" s="161"/>
      <c r="BF27" s="6"/>
      <c r="BG27" s="80"/>
      <c r="BH27" s="84" t="s">
        <v>2</v>
      </c>
      <c r="BI27" s="84" t="s">
        <v>3</v>
      </c>
      <c r="BJ27" s="196"/>
      <c r="BK27" s="196"/>
      <c r="BL27" s="6"/>
      <c r="BM27" s="6"/>
      <c r="BN27" s="81"/>
      <c r="BO27" s="82"/>
      <c r="BP27" s="77"/>
      <c r="BQ27" s="77"/>
      <c r="BR27" s="77"/>
      <c r="BS27" s="77"/>
      <c r="BT27" s="77"/>
    </row>
    <row r="28" spans="1:77" s="31" customFormat="1" ht="18.75" customHeight="1" thickTop="1" thickBot="1" x14ac:dyDescent="0.3">
      <c r="A28" s="20"/>
      <c r="B28" s="74"/>
      <c r="C28" s="75" t="s">
        <v>7</v>
      </c>
      <c r="D28" s="75"/>
      <c r="E28" s="75"/>
      <c r="F28" s="75"/>
      <c r="G28" s="61">
        <v>0</v>
      </c>
      <c r="H28" s="62">
        <v>0</v>
      </c>
      <c r="I28" s="63">
        <v>0</v>
      </c>
      <c r="J28" s="64">
        <v>0</v>
      </c>
      <c r="K28" s="65">
        <v>0</v>
      </c>
      <c r="L28" s="66">
        <v>0</v>
      </c>
      <c r="M28" s="67">
        <v>0</v>
      </c>
      <c r="N28" s="68">
        <v>0</v>
      </c>
      <c r="O28" s="61">
        <v>0</v>
      </c>
      <c r="P28" s="62">
        <v>0</v>
      </c>
      <c r="Q28" s="63">
        <v>0</v>
      </c>
      <c r="R28" s="64">
        <f>P16*$BK$66</f>
        <v>7909.9999999999991</v>
      </c>
      <c r="S28" s="65">
        <f>Q16*$BK$66</f>
        <v>7909.9999999999991</v>
      </c>
      <c r="T28" s="66">
        <f>R16*$BK$66</f>
        <v>7909.9999999999991</v>
      </c>
      <c r="U28" s="67">
        <f>S16*$BK$66</f>
        <v>7909.9999999999991</v>
      </c>
      <c r="V28" s="68">
        <f>T16*$BK$73</f>
        <v>8750</v>
      </c>
      <c r="W28" s="61">
        <f>U16*$BK$73</f>
        <v>8750</v>
      </c>
      <c r="X28" s="62">
        <f>V16*$BK$73</f>
        <v>8750</v>
      </c>
      <c r="Y28" s="63">
        <f>W16*$BK$73</f>
        <v>8750</v>
      </c>
      <c r="Z28" s="64">
        <f t="shared" ref="Z28:AG28" si="39">X16*$BK$74</f>
        <v>9030</v>
      </c>
      <c r="AA28" s="65">
        <f t="shared" si="39"/>
        <v>9030</v>
      </c>
      <c r="AB28" s="66">
        <f t="shared" si="39"/>
        <v>9030</v>
      </c>
      <c r="AC28" s="67">
        <f t="shared" si="39"/>
        <v>9030</v>
      </c>
      <c r="AD28" s="68">
        <f t="shared" si="39"/>
        <v>9030</v>
      </c>
      <c r="AE28" s="61">
        <f t="shared" si="39"/>
        <v>9030</v>
      </c>
      <c r="AF28" s="62">
        <f t="shared" si="39"/>
        <v>9030</v>
      </c>
      <c r="AG28" s="63">
        <f t="shared" si="39"/>
        <v>9030</v>
      </c>
      <c r="AH28" s="64">
        <f t="shared" ref="AH28:AN28" si="40">AF16*$BK$81</f>
        <v>9030</v>
      </c>
      <c r="AI28" s="65">
        <f t="shared" si="40"/>
        <v>9030</v>
      </c>
      <c r="AJ28" s="66">
        <f t="shared" si="40"/>
        <v>9030</v>
      </c>
      <c r="AK28" s="67">
        <f t="shared" si="40"/>
        <v>9030</v>
      </c>
      <c r="AL28" s="68">
        <f t="shared" si="40"/>
        <v>9030</v>
      </c>
      <c r="AM28" s="61">
        <f t="shared" si="40"/>
        <v>9030</v>
      </c>
      <c r="AN28" s="62">
        <f t="shared" si="40"/>
        <v>9030</v>
      </c>
      <c r="AO28" s="63">
        <f>AM16*$BK$82</f>
        <v>8820</v>
      </c>
      <c r="AP28" s="64">
        <f>AN16*$BK$82</f>
        <v>8820</v>
      </c>
      <c r="AQ28" s="65">
        <f>AO16*$BK$82</f>
        <v>8820</v>
      </c>
      <c r="AR28" s="66">
        <f>AP16*$BK$82</f>
        <v>8820</v>
      </c>
      <c r="AS28" s="67">
        <f>AQ16*$BK$82</f>
        <v>8820</v>
      </c>
      <c r="AT28" s="68">
        <f t="shared" ref="AT28:BC28" si="41">AR16*$BK$89</f>
        <v>8820</v>
      </c>
      <c r="AU28" s="61">
        <f t="shared" si="41"/>
        <v>8820</v>
      </c>
      <c r="AV28" s="62">
        <f t="shared" si="41"/>
        <v>8820</v>
      </c>
      <c r="AW28" s="63">
        <f t="shared" si="41"/>
        <v>8820</v>
      </c>
      <c r="AX28" s="64">
        <f t="shared" si="41"/>
        <v>8820</v>
      </c>
      <c r="AY28" s="65">
        <f t="shared" si="41"/>
        <v>8820</v>
      </c>
      <c r="AZ28" s="66">
        <f t="shared" si="41"/>
        <v>8820</v>
      </c>
      <c r="BA28" s="67">
        <f t="shared" si="41"/>
        <v>8820</v>
      </c>
      <c r="BB28" s="68">
        <f t="shared" si="41"/>
        <v>8820</v>
      </c>
      <c r="BC28" s="61">
        <f t="shared" si="41"/>
        <v>8820</v>
      </c>
      <c r="BD28" s="161"/>
      <c r="BE28" s="161"/>
      <c r="BF28" s="6"/>
      <c r="BG28" s="85"/>
      <c r="BH28" s="85">
        <v>0</v>
      </c>
      <c r="BI28" s="85">
        <v>1099</v>
      </c>
      <c r="BJ28" s="86">
        <v>250</v>
      </c>
      <c r="BK28" s="86">
        <f>BJ28/5</f>
        <v>50</v>
      </c>
      <c r="BL28" s="6"/>
      <c r="BM28" s="6"/>
      <c r="BN28" s="81"/>
      <c r="BO28" s="82"/>
      <c r="BP28" s="77"/>
      <c r="BQ28" s="77"/>
      <c r="BR28" s="77"/>
      <c r="BS28" s="87"/>
      <c r="BT28" s="77"/>
    </row>
    <row r="29" spans="1:77" ht="16.5" thickTop="1" thickBot="1" x14ac:dyDescent="0.3">
      <c r="A29" s="20"/>
      <c r="B29" s="74"/>
      <c r="C29" s="75" t="s">
        <v>39</v>
      </c>
      <c r="D29" s="75"/>
      <c r="E29" s="75"/>
      <c r="F29" s="75"/>
      <c r="G29" s="61">
        <v>0</v>
      </c>
      <c r="H29" s="62">
        <v>0</v>
      </c>
      <c r="I29" s="63">
        <v>0</v>
      </c>
      <c r="J29" s="64">
        <v>0</v>
      </c>
      <c r="K29" s="65">
        <v>0</v>
      </c>
      <c r="L29" s="66">
        <v>0</v>
      </c>
      <c r="M29" s="67">
        <v>0</v>
      </c>
      <c r="N29" s="68">
        <v>0</v>
      </c>
      <c r="O29" s="61">
        <v>0</v>
      </c>
      <c r="P29" s="62">
        <v>0</v>
      </c>
      <c r="Q29" s="63">
        <v>0</v>
      </c>
      <c r="R29" s="64">
        <v>0</v>
      </c>
      <c r="S29" s="65">
        <v>0</v>
      </c>
      <c r="T29" s="66">
        <v>0</v>
      </c>
      <c r="U29" s="67">
        <v>0</v>
      </c>
      <c r="V29" s="68">
        <f>BK135</f>
        <v>4640</v>
      </c>
      <c r="W29" s="61">
        <v>0</v>
      </c>
      <c r="X29" s="62">
        <v>0</v>
      </c>
      <c r="Y29" s="63">
        <v>0</v>
      </c>
      <c r="Z29" s="64">
        <v>0</v>
      </c>
      <c r="AA29" s="65">
        <v>0</v>
      </c>
      <c r="AB29" s="66">
        <v>0</v>
      </c>
      <c r="AC29" s="67">
        <f>BK136</f>
        <v>1760</v>
      </c>
      <c r="AD29" s="68">
        <v>0</v>
      </c>
      <c r="AE29" s="61">
        <v>0</v>
      </c>
      <c r="AF29" s="62">
        <v>0</v>
      </c>
      <c r="AG29" s="63">
        <v>0</v>
      </c>
      <c r="AH29" s="64">
        <v>0</v>
      </c>
      <c r="AI29" s="65">
        <v>0</v>
      </c>
      <c r="AJ29" s="66">
        <f>BK138</f>
        <v>3200</v>
      </c>
      <c r="AK29" s="67">
        <v>0</v>
      </c>
      <c r="AL29" s="68">
        <v>0</v>
      </c>
      <c r="AM29" s="61">
        <v>0</v>
      </c>
      <c r="AN29" s="62">
        <v>0</v>
      </c>
      <c r="AO29" s="63">
        <v>0</v>
      </c>
      <c r="AP29" s="64">
        <v>0</v>
      </c>
      <c r="AQ29" s="65">
        <v>0</v>
      </c>
      <c r="AR29" s="66">
        <f>BK139</f>
        <v>3200</v>
      </c>
      <c r="AS29" s="67">
        <v>0</v>
      </c>
      <c r="AT29" s="68">
        <v>0</v>
      </c>
      <c r="AU29" s="61">
        <v>0</v>
      </c>
      <c r="AV29" s="62">
        <v>0</v>
      </c>
      <c r="AW29" s="63">
        <v>0</v>
      </c>
      <c r="AX29" s="64">
        <v>0</v>
      </c>
      <c r="AY29" s="65">
        <v>0</v>
      </c>
      <c r="AZ29" s="66">
        <v>0</v>
      </c>
      <c r="BA29" s="67">
        <v>0</v>
      </c>
      <c r="BB29" s="68">
        <v>0</v>
      </c>
      <c r="BC29" s="61">
        <v>1</v>
      </c>
      <c r="BD29" s="161"/>
      <c r="BE29" s="161"/>
      <c r="BF29" s="88"/>
      <c r="BG29" s="85"/>
      <c r="BH29" s="85">
        <v>1100</v>
      </c>
      <c r="BI29" s="85">
        <v>1599</v>
      </c>
      <c r="BJ29" s="86">
        <v>2407</v>
      </c>
      <c r="BK29" s="86">
        <f t="shared" ref="BK29:BK30" si="42">BJ29/5</f>
        <v>481.4</v>
      </c>
      <c r="BL29" s="31"/>
      <c r="BM29" s="31"/>
      <c r="BN29" s="81"/>
      <c r="BO29" s="82"/>
      <c r="BP29" s="77"/>
      <c r="BQ29" s="77"/>
      <c r="BR29" s="81"/>
      <c r="BS29" s="82"/>
      <c r="BT29" s="77"/>
    </row>
    <row r="30" spans="1:77" ht="15.75" thickTop="1" x14ac:dyDescent="0.25">
      <c r="A30" s="20"/>
      <c r="B30" s="74"/>
      <c r="C30" s="75"/>
      <c r="D30" s="75"/>
      <c r="E30" s="75"/>
      <c r="F30" s="76"/>
      <c r="G30" s="89"/>
      <c r="H30" s="89"/>
      <c r="I30" s="89"/>
      <c r="J30" s="89"/>
      <c r="K30" s="89"/>
      <c r="L30" s="89"/>
      <c r="M30" s="89"/>
      <c r="N30" s="89"/>
      <c r="O30" s="89"/>
      <c r="P30" s="89"/>
      <c r="Q30" s="89"/>
      <c r="R30" s="89"/>
      <c r="S30" s="89"/>
      <c r="T30" s="89"/>
      <c r="U30" s="89"/>
      <c r="V30" s="89"/>
      <c r="W30" s="89"/>
      <c r="X30" s="2"/>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161"/>
      <c r="BE30" s="161"/>
      <c r="BF30" s="88"/>
      <c r="BG30" s="85"/>
      <c r="BH30" s="85">
        <v>1600</v>
      </c>
      <c r="BI30" s="85">
        <v>2499</v>
      </c>
      <c r="BJ30" s="86">
        <v>3369</v>
      </c>
      <c r="BK30" s="86">
        <f t="shared" si="42"/>
        <v>673.8</v>
      </c>
      <c r="BL30" s="31"/>
      <c r="BM30" s="31"/>
      <c r="BN30" s="81"/>
      <c r="BO30" s="82"/>
      <c r="BP30" s="77"/>
      <c r="BQ30" s="77"/>
      <c r="BR30" s="81"/>
      <c r="BS30" s="82"/>
      <c r="BT30" s="77"/>
    </row>
    <row r="31" spans="1:77" ht="15.75" thickBot="1" x14ac:dyDescent="0.3">
      <c r="A31" s="20"/>
      <c r="B31" s="74"/>
      <c r="C31" s="75"/>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161"/>
      <c r="BE31" s="161"/>
      <c r="BF31" s="88"/>
      <c r="BG31" s="85"/>
      <c r="BH31" s="85">
        <v>2500</v>
      </c>
      <c r="BI31" s="85" t="s">
        <v>4</v>
      </c>
      <c r="BJ31" s="85">
        <v>0.56399999999999995</v>
      </c>
      <c r="BK31" s="85" t="s">
        <v>5</v>
      </c>
      <c r="BL31" s="31"/>
      <c r="BM31" s="31"/>
      <c r="BN31" s="81"/>
      <c r="BO31" s="82"/>
      <c r="BP31" s="77"/>
      <c r="BQ31" s="77"/>
      <c r="BR31" s="81"/>
      <c r="BS31" s="82"/>
      <c r="BT31" s="77"/>
      <c r="BW31" s="87"/>
    </row>
    <row r="32" spans="1:77" ht="16.5" thickTop="1" thickBot="1" x14ac:dyDescent="0.3">
      <c r="A32" s="20"/>
      <c r="B32" s="74"/>
      <c r="C32" s="75" t="s">
        <v>40</v>
      </c>
      <c r="D32" s="90"/>
      <c r="E32" s="90"/>
      <c r="F32" s="90"/>
      <c r="G32" s="61">
        <f>$BK$62*E16</f>
        <v>5422.8411588004192</v>
      </c>
      <c r="H32" s="62">
        <f>$BK$62*F16</f>
        <v>5422.8411588004192</v>
      </c>
      <c r="I32" s="63">
        <f>$BK$62*G16</f>
        <v>5422.8411588004192</v>
      </c>
      <c r="J32" s="64">
        <f>$BK$62*H16</f>
        <v>5422.8411588004192</v>
      </c>
      <c r="K32" s="65">
        <f>$BK$62*I16</f>
        <v>5422.8411588004192</v>
      </c>
      <c r="L32" s="66">
        <f t="shared" ref="L32:U32" si="43">($BK$62)*J16</f>
        <v>5422.8411588004192</v>
      </c>
      <c r="M32" s="67">
        <f t="shared" si="43"/>
        <v>5422.8411588004192</v>
      </c>
      <c r="N32" s="68">
        <f t="shared" si="43"/>
        <v>5422.8411588004192</v>
      </c>
      <c r="O32" s="61">
        <f t="shared" si="43"/>
        <v>5422.8411588004192</v>
      </c>
      <c r="P32" s="62">
        <f t="shared" si="43"/>
        <v>5422.8411588004192</v>
      </c>
      <c r="Q32" s="63">
        <f t="shared" si="43"/>
        <v>5422.8411588004192</v>
      </c>
      <c r="R32" s="64">
        <f t="shared" si="43"/>
        <v>5422.8411588004192</v>
      </c>
      <c r="S32" s="65">
        <f t="shared" si="43"/>
        <v>5422.8411588004192</v>
      </c>
      <c r="T32" s="66">
        <f t="shared" si="43"/>
        <v>5422.8411588004192</v>
      </c>
      <c r="U32" s="67">
        <f t="shared" si="43"/>
        <v>5422.8411588004192</v>
      </c>
      <c r="V32" s="68">
        <f>$BK$70*T16</f>
        <v>5433.7215300754751</v>
      </c>
      <c r="W32" s="61">
        <f>$BK$70*U16</f>
        <v>5433.7215300754751</v>
      </c>
      <c r="X32" s="62">
        <f>$BK$70*V16</f>
        <v>5433.7215300754751</v>
      </c>
      <c r="Y32" s="63">
        <f>$BK$70*W16</f>
        <v>5433.7215300754751</v>
      </c>
      <c r="Z32" s="64">
        <f>X16* ($BK$70-$BK$93)</f>
        <v>4213.340214863073</v>
      </c>
      <c r="AA32" s="65">
        <f>Y16* ($BK$70-$BK$93)</f>
        <v>4213.340214863073</v>
      </c>
      <c r="AB32" s="66">
        <f>Z16* ($BK$70-$BK$93)</f>
        <v>4213.340214863073</v>
      </c>
      <c r="AC32" s="67">
        <f>AA16* ($BK$70-$BK$93)</f>
        <v>4213.340214863073</v>
      </c>
      <c r="AD32" s="68">
        <f>AB16* ($BK$70-$BK$93)</f>
        <v>4213.340214863073</v>
      </c>
      <c r="AE32" s="61">
        <f t="shared" ref="AE32:AK32" si="44">AC16* ($BK$78-$BK$93)</f>
        <v>4223.3144335554844</v>
      </c>
      <c r="AF32" s="62">
        <f t="shared" si="44"/>
        <v>4223.3144335554844</v>
      </c>
      <c r="AG32" s="63">
        <f t="shared" si="44"/>
        <v>4223.3144335554844</v>
      </c>
      <c r="AH32" s="64">
        <f t="shared" si="44"/>
        <v>4223.3144335554844</v>
      </c>
      <c r="AI32" s="65">
        <f t="shared" si="44"/>
        <v>4223.3144335554844</v>
      </c>
      <c r="AJ32" s="66">
        <f t="shared" si="44"/>
        <v>4223.3144335554844</v>
      </c>
      <c r="AK32" s="67">
        <f t="shared" si="44"/>
        <v>4223.3144335554844</v>
      </c>
      <c r="AL32" s="68">
        <f>AJ16* ($BK$78)</f>
        <v>5443.6957487678865</v>
      </c>
      <c r="AM32" s="61">
        <f>AK16* ($BK$78)</f>
        <v>5443.6957487678865</v>
      </c>
      <c r="AN32" s="62">
        <f>AL16* ($BK$78)</f>
        <v>5443.6957487678865</v>
      </c>
      <c r="AO32" s="63">
        <f>AM16* ($BK$78-$BK$97)</f>
        <v>4624.2371259332831</v>
      </c>
      <c r="AP32" s="64">
        <f>AN16* ($BK$78-$BK$97)</f>
        <v>4624.2371259332831</v>
      </c>
      <c r="AQ32" s="65">
        <f>AO16* ($BK$78-$BK$97)</f>
        <v>4624.2371259332831</v>
      </c>
      <c r="AR32" s="66">
        <f>AP16* ($BK$78-$BK$97)</f>
        <v>4624.2371259332831</v>
      </c>
      <c r="AS32" s="67">
        <f>AQ16* ($BK$78-$BK$97)</f>
        <v>4624.2371259332831</v>
      </c>
      <c r="AT32" s="68">
        <f t="shared" ref="AT32:BC32" si="45">AR16* ($BK$86)</f>
        <v>5443.6957487678865</v>
      </c>
      <c r="AU32" s="61">
        <f t="shared" si="45"/>
        <v>5443.6957487678865</v>
      </c>
      <c r="AV32" s="62">
        <f t="shared" si="45"/>
        <v>5443.6957487678865</v>
      </c>
      <c r="AW32" s="63">
        <f t="shared" si="45"/>
        <v>5443.6957487678865</v>
      </c>
      <c r="AX32" s="64">
        <f t="shared" si="45"/>
        <v>5443.6957487678865</v>
      </c>
      <c r="AY32" s="65">
        <f t="shared" si="45"/>
        <v>5443.6957487678865</v>
      </c>
      <c r="AZ32" s="66">
        <f t="shared" si="45"/>
        <v>5443.6957487678865</v>
      </c>
      <c r="BA32" s="67">
        <f t="shared" si="45"/>
        <v>5443.6957487678865</v>
      </c>
      <c r="BB32" s="68">
        <f t="shared" si="45"/>
        <v>5443.6957487678865</v>
      </c>
      <c r="BC32" s="61">
        <f t="shared" si="45"/>
        <v>5443.6957487678865</v>
      </c>
      <c r="BD32" s="161"/>
      <c r="BE32" s="161"/>
      <c r="BF32" s="88"/>
      <c r="BL32" s="31"/>
      <c r="BM32" s="31"/>
      <c r="BN32" s="81"/>
      <c r="BO32" s="82"/>
      <c r="BP32" s="77"/>
      <c r="BQ32" s="77"/>
      <c r="BR32" s="81"/>
      <c r="BS32" s="82"/>
      <c r="BT32" s="77"/>
      <c r="BW32" s="87"/>
    </row>
    <row r="33" spans="1:78" ht="16.5" thickTop="1" thickBot="1" x14ac:dyDescent="0.3">
      <c r="A33" s="20"/>
      <c r="B33" s="74"/>
      <c r="C33" s="75" t="s">
        <v>41</v>
      </c>
      <c r="D33" s="90"/>
      <c r="E33" s="90"/>
      <c r="F33" s="90"/>
      <c r="G33" s="61">
        <f t="shared" ref="G33:BC33" si="46">SUM(G24:G29,G32)</f>
        <v>18765.331663645058</v>
      </c>
      <c r="H33" s="62">
        <f t="shared" si="46"/>
        <v>18765.331663645058</v>
      </c>
      <c r="I33" s="63">
        <f t="shared" si="46"/>
        <v>18765.331663645058</v>
      </c>
      <c r="J33" s="64">
        <f t="shared" si="46"/>
        <v>18765.331663645058</v>
      </c>
      <c r="K33" s="65">
        <f t="shared" si="46"/>
        <v>18765.331663645058</v>
      </c>
      <c r="L33" s="66">
        <f t="shared" si="46"/>
        <v>18765.331663645058</v>
      </c>
      <c r="M33" s="67">
        <f t="shared" si="46"/>
        <v>18765.331663645058</v>
      </c>
      <c r="N33" s="68">
        <f t="shared" si="46"/>
        <v>17883.331663645058</v>
      </c>
      <c r="O33" s="61">
        <f t="shared" si="46"/>
        <v>17883.331663645058</v>
      </c>
      <c r="P33" s="62">
        <f t="shared" si="46"/>
        <v>18471.331663645058</v>
      </c>
      <c r="Q33" s="63">
        <f t="shared" si="46"/>
        <v>18471.331663645058</v>
      </c>
      <c r="R33" s="64">
        <f t="shared" si="46"/>
        <v>15683.998330311726</v>
      </c>
      <c r="S33" s="65">
        <f t="shared" si="46"/>
        <v>15683.998330311726</v>
      </c>
      <c r="T33" s="66">
        <f t="shared" si="46"/>
        <v>15683.998330311726</v>
      </c>
      <c r="U33" s="67">
        <f t="shared" si="46"/>
        <v>15683.998330311726</v>
      </c>
      <c r="V33" s="68">
        <f t="shared" si="46"/>
        <v>20737.369447492587</v>
      </c>
      <c r="W33" s="61">
        <f t="shared" si="46"/>
        <v>16097.369447492587</v>
      </c>
      <c r="X33" s="62">
        <f t="shared" si="46"/>
        <v>16097.369447492587</v>
      </c>
      <c r="Y33" s="63">
        <f t="shared" si="46"/>
        <v>16097.369447492587</v>
      </c>
      <c r="Z33" s="64">
        <f t="shared" si="46"/>
        <v>15156.988132280185</v>
      </c>
      <c r="AA33" s="65">
        <f t="shared" si="46"/>
        <v>15156.988132280185</v>
      </c>
      <c r="AB33" s="66">
        <f t="shared" si="46"/>
        <v>15156.988132280185</v>
      </c>
      <c r="AC33" s="67">
        <f t="shared" si="46"/>
        <v>16916.988132280185</v>
      </c>
      <c r="AD33" s="68">
        <f t="shared" si="46"/>
        <v>15156.988132280185</v>
      </c>
      <c r="AE33" s="61">
        <f t="shared" si="46"/>
        <v>15166.962350972597</v>
      </c>
      <c r="AF33" s="62">
        <f t="shared" si="46"/>
        <v>15166.962350972597</v>
      </c>
      <c r="AG33" s="63">
        <f t="shared" si="46"/>
        <v>15166.962350972597</v>
      </c>
      <c r="AH33" s="64">
        <f t="shared" si="46"/>
        <v>15156.849100791953</v>
      </c>
      <c r="AI33" s="65">
        <f t="shared" si="46"/>
        <v>15156.849100791953</v>
      </c>
      <c r="AJ33" s="66">
        <f t="shared" si="46"/>
        <v>18356.849100791951</v>
      </c>
      <c r="AK33" s="67">
        <f t="shared" si="46"/>
        <v>15156.849100791953</v>
      </c>
      <c r="AL33" s="68">
        <f t="shared" si="46"/>
        <v>16377.230416004355</v>
      </c>
      <c r="AM33" s="61">
        <f t="shared" si="46"/>
        <v>16377.230416004355</v>
      </c>
      <c r="AN33" s="62">
        <f t="shared" si="46"/>
        <v>16377.230416004355</v>
      </c>
      <c r="AO33" s="63">
        <f t="shared" si="46"/>
        <v>15347.771793169752</v>
      </c>
      <c r="AP33" s="64">
        <f t="shared" si="46"/>
        <v>15347.771793169752</v>
      </c>
      <c r="AQ33" s="65">
        <f t="shared" si="46"/>
        <v>15347.771793169752</v>
      </c>
      <c r="AR33" s="66">
        <f t="shared" si="46"/>
        <v>18547.771793169752</v>
      </c>
      <c r="AS33" s="67">
        <f t="shared" si="46"/>
        <v>15347.771793169752</v>
      </c>
      <c r="AT33" s="68">
        <f t="shared" si="46"/>
        <v>16167.230416004355</v>
      </c>
      <c r="AU33" s="61">
        <f t="shared" si="46"/>
        <v>16167.230416004355</v>
      </c>
      <c r="AV33" s="62">
        <f t="shared" si="46"/>
        <v>16167.230416004355</v>
      </c>
      <c r="AW33" s="63">
        <f t="shared" si="46"/>
        <v>16167.230416004355</v>
      </c>
      <c r="AX33" s="64">
        <f t="shared" si="46"/>
        <v>16167.230416004355</v>
      </c>
      <c r="AY33" s="65">
        <f t="shared" si="46"/>
        <v>16167.230416004355</v>
      </c>
      <c r="AZ33" s="66">
        <f t="shared" si="46"/>
        <v>16167.230416004355</v>
      </c>
      <c r="BA33" s="67">
        <f t="shared" si="46"/>
        <v>16167.230416004355</v>
      </c>
      <c r="BB33" s="68">
        <f t="shared" si="46"/>
        <v>16167.230416004355</v>
      </c>
      <c r="BC33" s="61">
        <f t="shared" si="46"/>
        <v>16168.230416004355</v>
      </c>
      <c r="BD33" s="161"/>
      <c r="BE33" s="161"/>
      <c r="BF33" s="20"/>
      <c r="BG33" s="79" t="s">
        <v>43</v>
      </c>
      <c r="BH33" s="80"/>
      <c r="BI33" s="80"/>
      <c r="BJ33" s="80"/>
      <c r="BK33" s="80"/>
      <c r="BL33" s="31"/>
      <c r="BM33" s="31"/>
      <c r="BN33" s="81"/>
      <c r="BO33" s="82"/>
      <c r="BP33" s="77"/>
      <c r="BQ33" s="77"/>
      <c r="BR33" s="81"/>
      <c r="BS33" s="82"/>
      <c r="BT33" s="77"/>
      <c r="BW33" s="87"/>
    </row>
    <row r="34" spans="1:78" ht="16.5" thickTop="1" thickBot="1" x14ac:dyDescent="0.3">
      <c r="A34" s="20"/>
      <c r="B34" s="74"/>
      <c r="C34" s="75"/>
      <c r="D34" s="90"/>
      <c r="E34" s="90"/>
      <c r="F34" s="90"/>
      <c r="G34" s="90"/>
      <c r="H34" s="90"/>
      <c r="I34" s="90"/>
      <c r="J34" s="90"/>
      <c r="K34" s="90"/>
      <c r="L34" s="90"/>
      <c r="M34" s="90"/>
      <c r="N34" s="90"/>
      <c r="O34" s="90"/>
      <c r="P34" s="90"/>
      <c r="Q34" s="90"/>
      <c r="R34" s="90"/>
      <c r="S34" s="90"/>
      <c r="T34" s="90"/>
      <c r="U34" s="90"/>
      <c r="V34" s="90"/>
      <c r="W34" s="90"/>
      <c r="X34" s="90"/>
      <c r="Y34" s="82"/>
      <c r="Z34" s="82"/>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161"/>
      <c r="BE34" s="161"/>
      <c r="BF34" s="20"/>
      <c r="BG34" s="80"/>
      <c r="BH34" s="80"/>
      <c r="BI34" s="80"/>
      <c r="BJ34" s="196" t="s">
        <v>0</v>
      </c>
      <c r="BK34" s="196" t="s">
        <v>1</v>
      </c>
      <c r="BL34" s="31"/>
      <c r="BM34" s="31"/>
      <c r="BN34" s="81"/>
      <c r="BO34" s="82"/>
      <c r="BP34" s="77"/>
      <c r="BQ34" s="77"/>
      <c r="BR34" s="81"/>
      <c r="BS34" s="82"/>
      <c r="BT34" s="77"/>
      <c r="BW34" s="87"/>
    </row>
    <row r="35" spans="1:78" ht="16.5" thickTop="1" thickBot="1" x14ac:dyDescent="0.3">
      <c r="A35" s="2"/>
      <c r="B35" s="74"/>
      <c r="C35" s="75" t="s">
        <v>42</v>
      </c>
      <c r="D35" s="91"/>
      <c r="E35" s="92"/>
      <c r="F35" s="92"/>
      <c r="G35" s="93">
        <v>0</v>
      </c>
      <c r="H35" s="94">
        <f t="shared" ref="H35:U35" si="47">H33/F17-G33/E17</f>
        <v>0</v>
      </c>
      <c r="I35" s="95">
        <f t="shared" si="47"/>
        <v>0</v>
      </c>
      <c r="J35" s="96">
        <f t="shared" si="47"/>
        <v>0</v>
      </c>
      <c r="K35" s="97">
        <f t="shared" si="47"/>
        <v>0</v>
      </c>
      <c r="L35" s="98">
        <f t="shared" si="47"/>
        <v>0</v>
      </c>
      <c r="M35" s="99">
        <f t="shared" si="47"/>
        <v>0</v>
      </c>
      <c r="N35" s="100">
        <f t="shared" si="47"/>
        <v>-0.12600000000000033</v>
      </c>
      <c r="O35" s="93">
        <f t="shared" si="47"/>
        <v>0</v>
      </c>
      <c r="P35" s="94">
        <f t="shared" si="47"/>
        <v>8.4000000000000075E-2</v>
      </c>
      <c r="Q35" s="95">
        <f t="shared" si="47"/>
        <v>0</v>
      </c>
      <c r="R35" s="96">
        <f t="shared" si="47"/>
        <v>-0.39819047619047598</v>
      </c>
      <c r="S35" s="97">
        <f t="shared" si="47"/>
        <v>0</v>
      </c>
      <c r="T35" s="98">
        <f t="shared" si="47"/>
        <v>0</v>
      </c>
      <c r="U35" s="99">
        <f t="shared" si="47"/>
        <v>0</v>
      </c>
      <c r="V35" s="100">
        <f>(V33-V29)/T17-U33/S17</f>
        <v>5.9053016740123088E-2</v>
      </c>
      <c r="W35" s="93">
        <f>W33/U17-(V33-V29)/T17</f>
        <v>0</v>
      </c>
      <c r="X35" s="94">
        <f>X33/V17-W33/U17</f>
        <v>0</v>
      </c>
      <c r="Y35" s="95">
        <f>Y33/W17-X33/V17</f>
        <v>0</v>
      </c>
      <c r="Z35" s="96">
        <f>Z33/X17-Y33/W17</f>
        <v>-0.13434018788748592</v>
      </c>
      <c r="AA35" s="97">
        <f>AA33/Y17-Z33/X17</f>
        <v>0</v>
      </c>
      <c r="AB35" s="98">
        <f>AB33/Z17-AA33/Y17</f>
        <v>0</v>
      </c>
      <c r="AC35" s="99">
        <f>(AC33-AC29)/AA17-AB33/Z17</f>
        <v>0</v>
      </c>
      <c r="AD35" s="100">
        <f>AD33/AB17-(AC33-AC29)/AA17</f>
        <v>0</v>
      </c>
      <c r="AE35" s="93">
        <f>AE33/AC17-AD33/AB17</f>
        <v>1.4248883846303961E-3</v>
      </c>
      <c r="AF35" s="94">
        <f>AF33/AD17-AE33/AC17</f>
        <v>0</v>
      </c>
      <c r="AG35" s="95">
        <f>AG33/AE17-AF33/AD17</f>
        <v>0</v>
      </c>
      <c r="AH35" s="96">
        <f>AH33/AF17-AG33/AE17</f>
        <v>-1.4447500258065737E-3</v>
      </c>
      <c r="AI35" s="97">
        <f>AI33/AG17-AH33/AF17</f>
        <v>0</v>
      </c>
      <c r="AJ35" s="98">
        <f>(AJ33-AJ29)/AH17-AI33/AG17</f>
        <v>0</v>
      </c>
      <c r="AK35" s="99">
        <f>AK33/AI17-(AJ33-AJ29)/AH17</f>
        <v>0</v>
      </c>
      <c r="AL35" s="100">
        <f t="shared" ref="AL35:AQ35" si="48">AL33/AJ17-AK33/AI17</f>
        <v>0.17434018788748595</v>
      </c>
      <c r="AM35" s="93">
        <f t="shared" si="48"/>
        <v>0</v>
      </c>
      <c r="AN35" s="94">
        <f t="shared" si="48"/>
        <v>0</v>
      </c>
      <c r="AO35" s="95">
        <f t="shared" si="48"/>
        <v>-0.14706551754780017</v>
      </c>
      <c r="AP35" s="96">
        <f t="shared" si="48"/>
        <v>0</v>
      </c>
      <c r="AQ35" s="97">
        <f t="shared" si="48"/>
        <v>0</v>
      </c>
      <c r="AR35" s="98">
        <f>(AR33-AR29)/AP17-AQ33/AO17</f>
        <v>0</v>
      </c>
      <c r="AS35" s="99">
        <f>AS33/AQ17-(AR33-AR29)/AP17</f>
        <v>0</v>
      </c>
      <c r="AT35" s="100">
        <f t="shared" ref="AT35:BC35" si="49">AT33/AR17-AS33/AQ17</f>
        <v>0.11706551754780037</v>
      </c>
      <c r="AU35" s="93">
        <f t="shared" si="49"/>
        <v>0</v>
      </c>
      <c r="AV35" s="94">
        <f t="shared" si="49"/>
        <v>0</v>
      </c>
      <c r="AW35" s="95">
        <f t="shared" si="49"/>
        <v>0</v>
      </c>
      <c r="AX35" s="96">
        <f t="shared" si="49"/>
        <v>0</v>
      </c>
      <c r="AY35" s="97">
        <f t="shared" si="49"/>
        <v>0</v>
      </c>
      <c r="AZ35" s="98">
        <f t="shared" si="49"/>
        <v>0</v>
      </c>
      <c r="BA35" s="99">
        <f t="shared" si="49"/>
        <v>0</v>
      </c>
      <c r="BB35" s="100">
        <f t="shared" si="49"/>
        <v>0</v>
      </c>
      <c r="BC35" s="93">
        <f t="shared" si="49"/>
        <v>1.4285714285700024E-4</v>
      </c>
      <c r="BD35" s="161"/>
      <c r="BE35" s="161"/>
      <c r="BF35" s="20"/>
      <c r="BG35" s="80"/>
      <c r="BH35" s="84" t="s">
        <v>2</v>
      </c>
      <c r="BI35" s="84" t="s">
        <v>3</v>
      </c>
      <c r="BJ35" s="196"/>
      <c r="BK35" s="196"/>
      <c r="BL35" s="31"/>
      <c r="BM35" s="31"/>
      <c r="BN35" s="81"/>
      <c r="BO35" s="82"/>
      <c r="BP35" s="77"/>
      <c r="BQ35" s="77"/>
      <c r="BR35" s="81"/>
      <c r="BS35" s="82"/>
      <c r="BT35" s="77"/>
    </row>
    <row r="36" spans="1:78" ht="15.75" thickTop="1" x14ac:dyDescent="0.25">
      <c r="A36" s="2"/>
      <c r="G36" s="6"/>
      <c r="AQ36" s="161"/>
      <c r="AR36" s="161"/>
      <c r="AS36" s="161"/>
      <c r="AT36" s="161"/>
      <c r="AU36" s="161"/>
      <c r="AV36" s="161"/>
      <c r="AW36" s="161"/>
      <c r="AX36" s="161"/>
      <c r="AY36" s="161"/>
      <c r="AZ36" s="161"/>
      <c r="BA36" s="161"/>
      <c r="BB36" s="161"/>
      <c r="BD36" s="161"/>
      <c r="BE36" s="161"/>
      <c r="BF36" s="20"/>
      <c r="BG36" s="85"/>
      <c r="BH36" s="85">
        <v>0</v>
      </c>
      <c r="BI36" s="85">
        <v>1099</v>
      </c>
      <c r="BJ36" s="86">
        <v>200</v>
      </c>
      <c r="BK36" s="86">
        <f>BJ36/4</f>
        <v>50</v>
      </c>
      <c r="BL36" s="31"/>
      <c r="BM36" s="31"/>
      <c r="BN36" s="81"/>
      <c r="BO36" s="82"/>
      <c r="BP36" s="77"/>
      <c r="BQ36" s="77"/>
      <c r="BR36" s="81"/>
      <c r="BS36" s="82"/>
      <c r="BT36" s="77"/>
    </row>
    <row r="37" spans="1:78" x14ac:dyDescent="0.25">
      <c r="A37" s="2"/>
      <c r="G37" s="6"/>
      <c r="AQ37" s="161"/>
      <c r="AR37" s="161"/>
      <c r="AS37" s="161"/>
      <c r="AT37" s="161"/>
      <c r="AU37" s="161"/>
      <c r="AV37" s="161"/>
      <c r="AW37" s="161"/>
      <c r="AX37" s="161"/>
      <c r="AY37" s="161"/>
      <c r="AZ37" s="161"/>
      <c r="BA37" s="161"/>
      <c r="BB37" s="161"/>
      <c r="BD37" s="161"/>
      <c r="BE37" s="161"/>
      <c r="BF37" s="20"/>
      <c r="BG37" s="85"/>
      <c r="BH37" s="85">
        <v>1100</v>
      </c>
      <c r="BI37" s="85">
        <v>1599</v>
      </c>
      <c r="BJ37" s="86">
        <v>1926</v>
      </c>
      <c r="BK37" s="86">
        <f>BJ37/4</f>
        <v>481.5</v>
      </c>
      <c r="BM37" s="31"/>
      <c r="BN37" s="81"/>
      <c r="BO37" s="82"/>
      <c r="BP37" s="77"/>
      <c r="BQ37" s="77"/>
      <c r="BR37" s="81"/>
      <c r="BS37" s="82"/>
      <c r="BT37" s="77"/>
    </row>
    <row r="38" spans="1:78" ht="15.75" thickBot="1" x14ac:dyDescent="0.3">
      <c r="A38" s="2"/>
      <c r="C38" s="186" t="s">
        <v>138</v>
      </c>
      <c r="D38" s="28"/>
      <c r="E38" s="27">
        <v>42370</v>
      </c>
      <c r="F38" s="27">
        <v>42401</v>
      </c>
      <c r="G38" s="27">
        <v>42430</v>
      </c>
      <c r="H38" s="27">
        <v>42461</v>
      </c>
      <c r="I38" s="27">
        <v>42491</v>
      </c>
      <c r="J38" s="27">
        <v>42522</v>
      </c>
      <c r="K38" s="27">
        <v>42552</v>
      </c>
      <c r="L38" s="27">
        <v>42583</v>
      </c>
      <c r="M38" s="27">
        <v>42614</v>
      </c>
      <c r="N38" s="27">
        <v>42644</v>
      </c>
      <c r="O38" s="27">
        <v>42675</v>
      </c>
      <c r="P38" s="27">
        <v>42705</v>
      </c>
      <c r="Q38" s="27">
        <v>42736</v>
      </c>
      <c r="R38" s="27">
        <v>42767</v>
      </c>
      <c r="S38" s="27">
        <v>42795</v>
      </c>
      <c r="T38" s="27">
        <v>42826</v>
      </c>
      <c r="U38" s="27">
        <v>42856</v>
      </c>
      <c r="V38" s="27">
        <v>42887</v>
      </c>
      <c r="W38" s="27">
        <v>42917</v>
      </c>
      <c r="X38" s="27">
        <v>42948</v>
      </c>
      <c r="Y38" s="27">
        <v>42979</v>
      </c>
      <c r="Z38" s="27">
        <v>43009</v>
      </c>
      <c r="AA38" s="27">
        <v>43040</v>
      </c>
      <c r="AB38" s="27">
        <v>43070</v>
      </c>
      <c r="AC38" s="27">
        <v>43101</v>
      </c>
      <c r="AD38" s="27">
        <v>43132</v>
      </c>
      <c r="AE38" s="27">
        <v>43160</v>
      </c>
      <c r="AF38" s="27">
        <v>43191</v>
      </c>
      <c r="AG38" s="27">
        <v>43221</v>
      </c>
      <c r="AH38" s="27">
        <v>43252</v>
      </c>
      <c r="AI38" s="27">
        <v>43282</v>
      </c>
      <c r="AJ38" s="27">
        <v>43313</v>
      </c>
      <c r="AK38" s="27">
        <v>43344</v>
      </c>
      <c r="AL38" s="27">
        <v>43374</v>
      </c>
      <c r="AM38" s="27">
        <v>43405</v>
      </c>
      <c r="AN38" s="27">
        <v>43435</v>
      </c>
      <c r="AO38" s="27">
        <v>43466</v>
      </c>
      <c r="AP38" s="27">
        <v>43497</v>
      </c>
      <c r="AQ38" s="27">
        <v>43525</v>
      </c>
      <c r="AR38" s="27">
        <v>43556</v>
      </c>
      <c r="AS38" s="27">
        <v>43586</v>
      </c>
      <c r="AT38" s="27">
        <v>43617</v>
      </c>
      <c r="AU38" s="27">
        <v>43647</v>
      </c>
      <c r="AV38" s="27">
        <v>43678</v>
      </c>
      <c r="AW38" s="27">
        <v>43709</v>
      </c>
      <c r="AX38" s="27">
        <v>43739</v>
      </c>
      <c r="AY38" s="27">
        <v>43770</v>
      </c>
      <c r="AZ38" s="27">
        <v>43800</v>
      </c>
      <c r="BA38" s="27">
        <v>43831</v>
      </c>
      <c r="BB38" s="27">
        <v>43862</v>
      </c>
      <c r="BC38" s="27">
        <v>43891</v>
      </c>
      <c r="BD38" s="161"/>
      <c r="BE38" s="161"/>
      <c r="BF38" s="20"/>
      <c r="BG38" s="85"/>
      <c r="BH38" s="85">
        <v>1600</v>
      </c>
      <c r="BI38" s="85">
        <v>2499</v>
      </c>
      <c r="BJ38" s="86">
        <v>2695</v>
      </c>
      <c r="BK38" s="86">
        <f>BJ38/4</f>
        <v>673.75</v>
      </c>
      <c r="BL38" s="31"/>
      <c r="BM38" s="31"/>
      <c r="BN38" s="81"/>
      <c r="BO38" s="82"/>
      <c r="BP38" s="77"/>
      <c r="BQ38" s="77"/>
      <c r="BR38" s="81"/>
      <c r="BS38" s="82"/>
      <c r="BT38" s="77"/>
      <c r="BV38" s="197"/>
      <c r="BW38" s="198"/>
      <c r="BX38" s="198"/>
      <c r="BY38" s="198"/>
      <c r="BZ38" s="198"/>
    </row>
    <row r="39" spans="1:78" x14ac:dyDescent="0.25">
      <c r="A39" s="2"/>
      <c r="C39" s="13" t="s">
        <v>44</v>
      </c>
      <c r="D39" s="101"/>
      <c r="E39" s="101">
        <f t="shared" ref="E39:AI39" si="50">E21</f>
        <v>0</v>
      </c>
      <c r="F39" s="101">
        <f t="shared" si="50"/>
        <v>66990</v>
      </c>
      <c r="G39" s="101">
        <f t="shared" si="50"/>
        <v>64470</v>
      </c>
      <c r="H39" s="101">
        <f t="shared" si="50"/>
        <v>65309.999999999985</v>
      </c>
      <c r="I39" s="101">
        <f t="shared" si="50"/>
        <v>65519.999999999993</v>
      </c>
      <c r="J39" s="101">
        <f t="shared" si="50"/>
        <v>65519.999999999993</v>
      </c>
      <c r="K39" s="101">
        <f t="shared" si="50"/>
        <v>65380.000000000007</v>
      </c>
      <c r="L39" s="101">
        <f t="shared" si="50"/>
        <v>63490.000000000015</v>
      </c>
      <c r="M39" s="101">
        <f t="shared" si="50"/>
        <v>64749.999999999993</v>
      </c>
      <c r="N39" s="101">
        <f t="shared" si="50"/>
        <v>62929.999999999985</v>
      </c>
      <c r="O39" s="101">
        <f t="shared" si="50"/>
        <v>64470.000000000007</v>
      </c>
      <c r="P39" s="101">
        <f t="shared" si="50"/>
        <v>64676.330338901811</v>
      </c>
      <c r="Q39" s="101">
        <f t="shared" si="50"/>
        <v>64277.280167727644</v>
      </c>
      <c r="R39" s="101">
        <f t="shared" si="50"/>
        <v>59592.455596511434</v>
      </c>
      <c r="S39" s="101">
        <f t="shared" si="50"/>
        <v>60899.410878073766</v>
      </c>
      <c r="T39" s="101">
        <f t="shared" si="50"/>
        <v>61812.282455612396</v>
      </c>
      <c r="U39" s="101">
        <f t="shared" si="50"/>
        <v>61112.978629784331</v>
      </c>
      <c r="V39" s="101">
        <f t="shared" si="50"/>
        <v>61511.192524676335</v>
      </c>
      <c r="W39" s="101">
        <f t="shared" si="50"/>
        <v>62683.025519662471</v>
      </c>
      <c r="X39" s="101">
        <f t="shared" si="50"/>
        <v>65009.209998449398</v>
      </c>
      <c r="Y39" s="101">
        <f t="shared" si="50"/>
        <v>64329.132189819429</v>
      </c>
      <c r="Z39" s="101">
        <f t="shared" si="50"/>
        <v>60602.687927998901</v>
      </c>
      <c r="AA39" s="101">
        <f t="shared" si="50"/>
        <v>63537.97948536402</v>
      </c>
      <c r="AB39" s="101">
        <f t="shared" si="50"/>
        <v>62590.697077575795</v>
      </c>
      <c r="AC39" s="101">
        <f t="shared" si="50"/>
        <v>61573.140925459324</v>
      </c>
      <c r="AD39" s="101">
        <f t="shared" si="50"/>
        <v>59977.09588759936</v>
      </c>
      <c r="AE39" s="101">
        <f t="shared" si="50"/>
        <v>59717.020935379885</v>
      </c>
      <c r="AF39" s="101">
        <f t="shared" si="50"/>
        <v>60226.025104859364</v>
      </c>
      <c r="AG39" s="101">
        <f t="shared" si="50"/>
        <v>59690.924790885445</v>
      </c>
      <c r="AH39" s="101">
        <f t="shared" si="50"/>
        <v>59865.188847019264</v>
      </c>
      <c r="AI39" s="101">
        <f t="shared" si="50"/>
        <v>60566.133000498929</v>
      </c>
      <c r="AJ39" s="101">
        <f t="shared" ref="AJ39:BB39" si="51">AJ21</f>
        <v>60974.690798411939</v>
      </c>
      <c r="AK39" s="101">
        <f t="shared" si="51"/>
        <v>58684.452579351011</v>
      </c>
      <c r="AL39" s="101">
        <f t="shared" si="51"/>
        <v>62089.012537794675</v>
      </c>
      <c r="AM39" s="101">
        <f t="shared" si="51"/>
        <v>60868.631222582277</v>
      </c>
      <c r="AN39" s="101">
        <f t="shared" si="51"/>
        <v>60868.631222582277</v>
      </c>
      <c r="AO39" s="101">
        <f t="shared" si="51"/>
        <v>58809.713976913088</v>
      </c>
      <c r="AP39" s="101">
        <f t="shared" si="51"/>
        <v>59839.172599747682</v>
      </c>
      <c r="AQ39" s="101">
        <f t="shared" si="51"/>
        <v>59839.172599747682</v>
      </c>
      <c r="AR39" s="101">
        <f t="shared" si="51"/>
        <v>59839.172599747682</v>
      </c>
      <c r="AS39" s="101">
        <f t="shared" si="51"/>
        <v>59839.172599747682</v>
      </c>
      <c r="AT39" s="101">
        <f t="shared" si="51"/>
        <v>61478.089845416886</v>
      </c>
      <c r="AU39" s="101">
        <f t="shared" si="51"/>
        <v>60658.631222582284</v>
      </c>
      <c r="AV39" s="101">
        <f t="shared" si="51"/>
        <v>60658.631222582284</v>
      </c>
      <c r="AW39" s="101">
        <f t="shared" si="51"/>
        <v>60658.631222582284</v>
      </c>
      <c r="AX39" s="101">
        <f t="shared" si="51"/>
        <v>60658.631222582284</v>
      </c>
      <c r="AY39" s="101">
        <f t="shared" si="51"/>
        <v>60658.631222582284</v>
      </c>
      <c r="AZ39" s="101">
        <f t="shared" si="51"/>
        <v>60658.631222582284</v>
      </c>
      <c r="BA39" s="101">
        <f t="shared" si="51"/>
        <v>60658.631222582284</v>
      </c>
      <c r="BB39" s="101">
        <f t="shared" si="51"/>
        <v>60658.631222582284</v>
      </c>
      <c r="BC39" s="101">
        <f t="shared" ref="BC39" si="52">BC21</f>
        <v>60658.631222582284</v>
      </c>
      <c r="BD39" s="161"/>
      <c r="BE39" s="161"/>
      <c r="BF39" s="20"/>
      <c r="BG39" s="85"/>
      <c r="BH39" s="85">
        <v>2500</v>
      </c>
      <c r="BI39" s="85" t="s">
        <v>4</v>
      </c>
      <c r="BJ39" s="85">
        <v>0.56399999999999995</v>
      </c>
      <c r="BK39" s="85" t="s">
        <v>5</v>
      </c>
      <c r="BL39" s="103"/>
      <c r="BM39" s="31"/>
      <c r="BN39" s="81"/>
      <c r="BO39" s="82"/>
      <c r="BP39" s="77"/>
      <c r="BQ39" s="77"/>
      <c r="BR39" s="81"/>
      <c r="BS39" s="82"/>
      <c r="BT39" s="77"/>
      <c r="BV39" s="197"/>
      <c r="BW39" s="198"/>
      <c r="BX39" s="198"/>
      <c r="BY39" s="198"/>
      <c r="BZ39" s="198"/>
    </row>
    <row r="40" spans="1:78" x14ac:dyDescent="0.25">
      <c r="A40" s="2"/>
      <c r="C40" s="13" t="s">
        <v>45</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v>1</v>
      </c>
      <c r="AF40" s="102">
        <f t="shared" ref="AF40:BC40" si="53">AF39/$AE$39</f>
        <v>1.008523602843991</v>
      </c>
      <c r="AG40" s="102">
        <f t="shared" si="53"/>
        <v>0.9995630032428664</v>
      </c>
      <c r="AH40" s="102">
        <f t="shared" si="53"/>
        <v>1.0024811671667231</v>
      </c>
      <c r="AI40" s="102">
        <f t="shared" si="53"/>
        <v>1.0142189287378864</v>
      </c>
      <c r="AJ40" s="102">
        <f t="shared" si="53"/>
        <v>1.0210604923576645</v>
      </c>
      <c r="AK40" s="102">
        <f t="shared" si="53"/>
        <v>0.9827089774430271</v>
      </c>
      <c r="AL40" s="102">
        <f t="shared" si="53"/>
        <v>1.0397205280045958</v>
      </c>
      <c r="AM40" s="102">
        <f t="shared" si="53"/>
        <v>1.0192844564106531</v>
      </c>
      <c r="AN40" s="102">
        <f t="shared" si="53"/>
        <v>1.0192844564106531</v>
      </c>
      <c r="AO40" s="102">
        <f t="shared" si="53"/>
        <v>0.98480656026949842</v>
      </c>
      <c r="AP40" s="102">
        <f t="shared" si="53"/>
        <v>1.0020455083400757</v>
      </c>
      <c r="AQ40" s="185">
        <f t="shared" si="53"/>
        <v>1.0020455083400757</v>
      </c>
      <c r="AR40" s="102">
        <f t="shared" si="53"/>
        <v>1.0020455083400757</v>
      </c>
      <c r="AS40" s="102">
        <f t="shared" si="53"/>
        <v>1.0020455083400757</v>
      </c>
      <c r="AT40" s="102">
        <f t="shared" si="53"/>
        <v>1.0294902338136167</v>
      </c>
      <c r="AU40" s="102">
        <f t="shared" si="53"/>
        <v>1.0157678710768463</v>
      </c>
      <c r="AV40" s="102">
        <f t="shared" si="53"/>
        <v>1.0157678710768463</v>
      </c>
      <c r="AW40" s="102">
        <f t="shared" si="53"/>
        <v>1.0157678710768463</v>
      </c>
      <c r="AX40" s="102">
        <f t="shared" si="53"/>
        <v>1.0157678710768463</v>
      </c>
      <c r="AY40" s="102">
        <f t="shared" si="53"/>
        <v>1.0157678710768463</v>
      </c>
      <c r="AZ40" s="102">
        <f t="shared" si="53"/>
        <v>1.0157678710768463</v>
      </c>
      <c r="BA40" s="102">
        <f t="shared" si="53"/>
        <v>1.0157678710768463</v>
      </c>
      <c r="BB40" s="102">
        <f t="shared" si="53"/>
        <v>1.0157678710768463</v>
      </c>
      <c r="BC40" s="102">
        <f t="shared" si="53"/>
        <v>1.0157678710768463</v>
      </c>
      <c r="BD40" s="161"/>
      <c r="BE40" s="161"/>
      <c r="BF40" s="20"/>
      <c r="BG40" s="31"/>
      <c r="BH40" s="31"/>
      <c r="BI40" s="31"/>
      <c r="BJ40" s="31"/>
      <c r="BK40" s="31"/>
      <c r="BL40" s="105"/>
      <c r="BN40" s="81"/>
      <c r="BO40" s="82"/>
      <c r="BP40" s="77"/>
      <c r="BQ40" s="77"/>
      <c r="BR40" s="81"/>
      <c r="BS40" s="82"/>
      <c r="BT40" s="77"/>
    </row>
    <row r="41" spans="1:78" x14ac:dyDescent="0.25">
      <c r="A41" s="2"/>
      <c r="BF41" s="20"/>
      <c r="BG41" s="79" t="s">
        <v>46</v>
      </c>
      <c r="BH41" s="80"/>
      <c r="BI41" s="80"/>
      <c r="BJ41" s="80"/>
      <c r="BK41" s="80"/>
      <c r="BL41" s="105"/>
      <c r="BM41" s="31"/>
      <c r="BN41" s="81"/>
      <c r="BO41" s="82"/>
      <c r="BP41" s="77"/>
      <c r="BQ41" s="77"/>
      <c r="BR41" s="81"/>
      <c r="BS41" s="82"/>
      <c r="BT41" s="77"/>
    </row>
    <row r="42" spans="1:78" x14ac:dyDescent="0.25">
      <c r="A42" s="2"/>
      <c r="BF42" s="20"/>
      <c r="BG42" s="80"/>
      <c r="BH42" s="80"/>
      <c r="BI42" s="80"/>
      <c r="BJ42" s="196" t="s">
        <v>0</v>
      </c>
      <c r="BK42" s="196" t="s">
        <v>1</v>
      </c>
      <c r="BL42" s="105"/>
      <c r="BM42" s="104"/>
      <c r="BN42" s="81"/>
      <c r="BO42" s="82"/>
      <c r="BP42" s="77"/>
      <c r="BQ42" s="77"/>
      <c r="BR42" s="81"/>
      <c r="BS42" s="82"/>
      <c r="BT42" s="77"/>
      <c r="BU42" s="18"/>
    </row>
    <row r="43" spans="1:78" x14ac:dyDescent="0.25">
      <c r="A43" s="2"/>
      <c r="D43" s="6"/>
      <c r="E43" s="6"/>
      <c r="F43" s="6"/>
      <c r="G43" s="6"/>
      <c r="BF43" s="20"/>
      <c r="BG43" s="80"/>
      <c r="BH43" s="84" t="s">
        <v>2</v>
      </c>
      <c r="BI43" s="84" t="s">
        <v>3</v>
      </c>
      <c r="BJ43" s="196"/>
      <c r="BK43" s="196"/>
      <c r="BL43" s="105"/>
      <c r="BM43" s="105"/>
      <c r="BN43" s="81"/>
      <c r="BO43" s="82"/>
      <c r="BP43" s="77"/>
      <c r="BQ43" s="77"/>
      <c r="BR43" s="81"/>
      <c r="BS43" s="82"/>
      <c r="BT43" s="77"/>
    </row>
    <row r="44" spans="1:78" x14ac:dyDescent="0.25">
      <c r="A44" s="2"/>
      <c r="BF44" s="20"/>
      <c r="BG44" s="85"/>
      <c r="BH44" s="85">
        <v>0</v>
      </c>
      <c r="BI44" s="85">
        <v>1099</v>
      </c>
      <c r="BJ44" s="86">
        <v>100</v>
      </c>
      <c r="BK44" s="86">
        <f>BJ44/2</f>
        <v>50</v>
      </c>
      <c r="BL44" s="105"/>
      <c r="BM44" s="105"/>
      <c r="BN44" s="81"/>
      <c r="BO44" s="82"/>
      <c r="BP44" s="77"/>
      <c r="BQ44" s="77"/>
      <c r="BR44" s="81"/>
      <c r="BS44" s="82"/>
      <c r="BT44" s="77"/>
    </row>
    <row r="45" spans="1:78" x14ac:dyDescent="0.25">
      <c r="A45" s="2"/>
      <c r="BF45" s="20"/>
      <c r="BG45" s="85"/>
      <c r="BH45" s="85">
        <v>1100</v>
      </c>
      <c r="BI45" s="85">
        <v>1599</v>
      </c>
      <c r="BJ45" s="86">
        <v>748</v>
      </c>
      <c r="BK45" s="86">
        <f>BJ45/2</f>
        <v>374</v>
      </c>
      <c r="BL45" s="105"/>
      <c r="BM45" s="105"/>
      <c r="BN45" s="81"/>
      <c r="BO45" s="82"/>
      <c r="BP45" s="77"/>
      <c r="BQ45" s="77"/>
      <c r="BR45" s="81"/>
      <c r="BS45" s="82"/>
      <c r="BT45" s="77"/>
    </row>
    <row r="46" spans="1:78" x14ac:dyDescent="0.25">
      <c r="W46" s="159"/>
      <c r="BF46" s="20"/>
      <c r="BG46" s="85"/>
      <c r="BH46" s="85">
        <v>1600</v>
      </c>
      <c r="BI46" s="85">
        <v>2499</v>
      </c>
      <c r="BJ46" s="86">
        <v>1047</v>
      </c>
      <c r="BK46" s="86">
        <f>BJ46/2</f>
        <v>523.5</v>
      </c>
      <c r="BL46" s="105"/>
      <c r="BM46" s="105"/>
      <c r="BN46" s="106"/>
      <c r="BO46" s="107"/>
      <c r="BP46" s="89"/>
      <c r="BQ46" s="89"/>
      <c r="BR46" s="89"/>
      <c r="BS46" s="89"/>
      <c r="BT46" s="87"/>
    </row>
    <row r="47" spans="1:78" x14ac:dyDescent="0.25">
      <c r="BF47" s="20"/>
      <c r="BG47" s="85"/>
      <c r="BH47" s="85">
        <v>2500</v>
      </c>
      <c r="BI47" s="85" t="s">
        <v>4</v>
      </c>
      <c r="BJ47" s="85">
        <v>0.438</v>
      </c>
      <c r="BK47" s="85" t="s">
        <v>5</v>
      </c>
      <c r="BL47" s="105"/>
      <c r="BM47" s="105"/>
      <c r="BN47" s="106"/>
      <c r="BO47" s="107"/>
      <c r="BP47" s="89"/>
      <c r="BQ47" s="89"/>
      <c r="BR47" s="89"/>
      <c r="BS47" s="89"/>
      <c r="BT47" s="87"/>
    </row>
    <row r="48" spans="1:78" x14ac:dyDescent="0.25">
      <c r="Q48" s="13"/>
      <c r="W48" s="16"/>
      <c r="BF48" s="20"/>
      <c r="BG48" s="31"/>
      <c r="BH48" s="31"/>
      <c r="BI48" s="31"/>
      <c r="BJ48" s="31"/>
      <c r="BK48" s="31"/>
      <c r="BL48" s="105"/>
      <c r="BM48" s="105"/>
      <c r="BN48" s="106"/>
      <c r="BO48" s="107"/>
      <c r="BP48" s="89"/>
      <c r="BQ48" s="89"/>
      <c r="BR48" s="89"/>
      <c r="BS48" s="89"/>
      <c r="BT48" s="87"/>
    </row>
    <row r="49" spans="8:73" x14ac:dyDescent="0.25">
      <c r="Q49" s="129"/>
      <c r="W49" s="16"/>
      <c r="BF49" s="20"/>
      <c r="BG49" s="79" t="s">
        <v>47</v>
      </c>
      <c r="BH49" s="80"/>
      <c r="BI49" s="80"/>
      <c r="BJ49" s="80"/>
      <c r="BK49" s="80"/>
      <c r="BL49" s="105"/>
      <c r="BM49" s="105"/>
      <c r="BN49" s="106"/>
      <c r="BO49" s="107"/>
      <c r="BP49" s="108"/>
      <c r="BQ49" s="109"/>
      <c r="BR49" s="89"/>
      <c r="BS49" s="89"/>
      <c r="BT49" s="87"/>
    </row>
    <row r="50" spans="8:73" x14ac:dyDescent="0.25">
      <c r="Q50" s="129"/>
      <c r="W50" s="16"/>
      <c r="X50" s="16"/>
      <c r="BF50" s="20"/>
      <c r="BG50" s="80"/>
      <c r="BH50" s="80"/>
      <c r="BI50" s="80"/>
      <c r="BJ50" s="196" t="s">
        <v>0</v>
      </c>
      <c r="BK50" s="196" t="s">
        <v>1</v>
      </c>
      <c r="BL50" s="105"/>
      <c r="BM50" s="105"/>
      <c r="BN50" s="106"/>
      <c r="BO50" s="107"/>
      <c r="BP50" s="2"/>
      <c r="BQ50" s="2"/>
      <c r="BR50" s="2"/>
      <c r="BS50" s="2"/>
    </row>
    <row r="51" spans="8:73" x14ac:dyDescent="0.25">
      <c r="H51" s="13"/>
      <c r="I51" s="13"/>
      <c r="Q51" s="129"/>
      <c r="W51" s="16"/>
      <c r="X51" s="16"/>
      <c r="BF51" s="20"/>
      <c r="BG51" s="80"/>
      <c r="BH51" s="84" t="s">
        <v>2</v>
      </c>
      <c r="BI51" s="84" t="s">
        <v>3</v>
      </c>
      <c r="BJ51" s="196"/>
      <c r="BK51" s="196"/>
      <c r="BL51" s="105"/>
      <c r="BM51" s="105"/>
      <c r="BN51" s="106"/>
      <c r="BO51" s="107"/>
      <c r="BP51" s="2"/>
      <c r="BQ51" s="2"/>
      <c r="BR51" s="2"/>
      <c r="BS51" s="2"/>
      <c r="BU51" s="110"/>
    </row>
    <row r="52" spans="8:73" x14ac:dyDescent="0.25">
      <c r="H52" s="13"/>
      <c r="I52" s="13"/>
      <c r="Q52" s="129"/>
      <c r="W52" s="16"/>
      <c r="X52" s="16"/>
      <c r="BF52" s="20"/>
      <c r="BG52" s="85"/>
      <c r="BH52" s="85">
        <v>0</v>
      </c>
      <c r="BI52" s="85">
        <v>1099</v>
      </c>
      <c r="BJ52" s="86">
        <f>2*BK52</f>
        <v>100</v>
      </c>
      <c r="BK52" s="86">
        <v>50</v>
      </c>
      <c r="BM52" s="105"/>
      <c r="BN52" s="106"/>
      <c r="BO52" s="107"/>
      <c r="BP52" s="2"/>
      <c r="BQ52" s="2"/>
      <c r="BR52" s="2"/>
      <c r="BS52" s="2"/>
    </row>
    <row r="53" spans="8:73" x14ac:dyDescent="0.25">
      <c r="H53" s="13"/>
      <c r="I53" s="13"/>
      <c r="Q53" s="129"/>
      <c r="W53" s="16"/>
      <c r="X53" s="16"/>
      <c r="BF53" s="20"/>
      <c r="BG53" s="85"/>
      <c r="BH53" s="85">
        <v>1100</v>
      </c>
      <c r="BI53" s="85">
        <v>1599</v>
      </c>
      <c r="BJ53" s="86">
        <f t="shared" ref="BJ53:BJ54" si="54">2*BK53</f>
        <v>891</v>
      </c>
      <c r="BK53" s="86">
        <v>445.5</v>
      </c>
      <c r="BM53" s="105"/>
      <c r="BN53" s="106"/>
      <c r="BO53" s="107"/>
      <c r="BP53" s="2"/>
      <c r="BQ53" s="2"/>
      <c r="BR53" s="2"/>
      <c r="BS53" s="2"/>
    </row>
    <row r="54" spans="8:73" x14ac:dyDescent="0.25">
      <c r="H54" s="13"/>
      <c r="I54" s="13"/>
      <c r="Q54" s="129"/>
      <c r="W54" s="16"/>
      <c r="X54" s="16"/>
      <c r="BF54" s="20"/>
      <c r="BG54" s="85"/>
      <c r="BH54" s="85">
        <v>1600</v>
      </c>
      <c r="BI54" s="85">
        <v>2499</v>
      </c>
      <c r="BJ54" s="86">
        <f t="shared" si="54"/>
        <v>1247.3333333333333</v>
      </c>
      <c r="BK54" s="86">
        <v>623.66666666666663</v>
      </c>
      <c r="BL54" s="111"/>
      <c r="BM54" s="105"/>
      <c r="BN54" s="106"/>
      <c r="BO54" s="107"/>
      <c r="BP54" s="2"/>
      <c r="BQ54" s="2"/>
      <c r="BR54" s="2"/>
      <c r="BS54" s="2"/>
      <c r="BT54" s="2"/>
    </row>
    <row r="55" spans="8:73" x14ac:dyDescent="0.25">
      <c r="Q55" s="129"/>
      <c r="W55" s="16"/>
      <c r="X55" s="16"/>
      <c r="BF55" s="20"/>
      <c r="BG55" s="85"/>
      <c r="BH55" s="85">
        <v>2500</v>
      </c>
      <c r="BI55" s="85" t="s">
        <v>4</v>
      </c>
      <c r="BJ55" s="85">
        <v>0.52200000000000002</v>
      </c>
      <c r="BK55" s="85" t="s">
        <v>5</v>
      </c>
      <c r="BN55" s="106"/>
      <c r="BO55" s="107"/>
      <c r="BP55" s="2"/>
      <c r="BQ55" s="2"/>
      <c r="BR55" s="2"/>
      <c r="BS55" s="2"/>
      <c r="BT55" s="2"/>
    </row>
    <row r="56" spans="8:73" x14ac:dyDescent="0.25">
      <c r="Q56" s="129"/>
      <c r="W56" s="16"/>
      <c r="BF56" s="20"/>
      <c r="BG56" s="31"/>
      <c r="BH56" s="31"/>
      <c r="BI56" s="31"/>
      <c r="BJ56" s="31"/>
      <c r="BK56" s="31"/>
      <c r="BN56" s="106"/>
      <c r="BO56" s="107"/>
      <c r="BP56" s="2"/>
      <c r="BQ56" s="2"/>
      <c r="BR56" s="2"/>
      <c r="BS56" s="2"/>
      <c r="BT56" s="2"/>
    </row>
    <row r="57" spans="8:73" x14ac:dyDescent="0.25">
      <c r="Q57" s="129"/>
      <c r="W57" s="16"/>
      <c r="X57" s="16"/>
      <c r="BF57" s="20"/>
      <c r="BG57" s="112" t="s">
        <v>48</v>
      </c>
      <c r="BH57" s="113"/>
      <c r="BI57" s="113"/>
      <c r="BJ57" s="113" t="s">
        <v>49</v>
      </c>
      <c r="BK57" s="114">
        <v>80000</v>
      </c>
      <c r="BM57" s="111"/>
      <c r="BN57" s="106"/>
      <c r="BO57" s="107"/>
      <c r="BP57" s="2"/>
      <c r="BQ57" s="2"/>
    </row>
    <row r="58" spans="8:73" x14ac:dyDescent="0.25">
      <c r="Q58" s="129"/>
      <c r="W58" s="16"/>
      <c r="X58" s="16"/>
      <c r="BF58" s="20"/>
      <c r="BG58" s="113"/>
      <c r="BH58" s="113"/>
      <c r="BI58" s="113"/>
      <c r="BJ58" s="113" t="s">
        <v>50</v>
      </c>
      <c r="BK58" s="115">
        <v>1</v>
      </c>
      <c r="BN58" s="81"/>
      <c r="BO58" s="82"/>
    </row>
    <row r="59" spans="8:73" x14ac:dyDescent="0.25">
      <c r="Q59" s="129"/>
      <c r="W59" s="16"/>
      <c r="BF59" s="20"/>
      <c r="BG59" s="31"/>
      <c r="BH59" s="31"/>
      <c r="BI59" s="31"/>
      <c r="BJ59" s="31"/>
      <c r="BK59" s="31"/>
    </row>
    <row r="60" spans="8:73" x14ac:dyDescent="0.25">
      <c r="Q60" s="129"/>
      <c r="W60" s="16"/>
      <c r="BF60" s="20"/>
      <c r="BG60" s="116" t="s">
        <v>91</v>
      </c>
      <c r="BH60" s="117"/>
      <c r="BI60" s="117"/>
      <c r="BJ60" s="117" t="s">
        <v>51</v>
      </c>
      <c r="BK60" s="118">
        <v>800000000</v>
      </c>
    </row>
    <row r="61" spans="8:73" x14ac:dyDescent="0.25">
      <c r="Q61" s="129"/>
      <c r="W61" s="16"/>
      <c r="BF61" s="20"/>
      <c r="BG61" s="117"/>
      <c r="BH61" s="117"/>
      <c r="BI61" s="117"/>
      <c r="BJ61" s="117" t="s">
        <v>52</v>
      </c>
      <c r="BK61" s="119">
        <v>1032669008.0000001</v>
      </c>
    </row>
    <row r="62" spans="8:73" x14ac:dyDescent="0.25">
      <c r="Q62" s="129"/>
      <c r="W62" s="16"/>
      <c r="BG62" s="117"/>
      <c r="BH62" s="117"/>
      <c r="BI62" s="117"/>
      <c r="BJ62" s="117" t="s">
        <v>53</v>
      </c>
      <c r="BK62" s="120">
        <f>BK60/BK61</f>
        <v>0.77469159411434563</v>
      </c>
    </row>
    <row r="63" spans="8:73" x14ac:dyDescent="0.25">
      <c r="Q63" s="129"/>
      <c r="W63" s="16"/>
      <c r="BF63" s="20"/>
      <c r="BG63" s="121"/>
      <c r="BH63" s="121"/>
      <c r="BI63" s="121"/>
      <c r="BJ63" s="122" t="s">
        <v>54</v>
      </c>
      <c r="BK63" s="123">
        <v>0.9</v>
      </c>
    </row>
    <row r="64" spans="8:73" x14ac:dyDescent="0.25">
      <c r="Q64" s="129"/>
      <c r="W64" s="16"/>
      <c r="BF64" s="20"/>
      <c r="BG64" s="121"/>
      <c r="BH64" s="121"/>
      <c r="BI64" s="121"/>
      <c r="BJ64" s="122" t="s">
        <v>55</v>
      </c>
      <c r="BK64" s="124">
        <v>99995381.51000002</v>
      </c>
    </row>
    <row r="65" spans="17:66" x14ac:dyDescent="0.25">
      <c r="Q65" s="129"/>
      <c r="W65" s="16"/>
      <c r="BF65" s="20"/>
      <c r="BG65" s="121"/>
      <c r="BH65" s="121"/>
      <c r="BI65" s="121"/>
      <c r="BJ65" s="122" t="s">
        <v>83</v>
      </c>
      <c r="BK65" s="125">
        <f>BK64/BK61</f>
        <v>9.6831976882567589E-2</v>
      </c>
    </row>
    <row r="66" spans="17:66" x14ac:dyDescent="0.25">
      <c r="Q66" s="129"/>
      <c r="W66" s="16"/>
      <c r="BF66" s="20"/>
      <c r="BG66" s="138"/>
      <c r="BH66" s="138"/>
      <c r="BI66" s="138"/>
      <c r="BJ66" s="139" t="s">
        <v>93</v>
      </c>
      <c r="BK66" s="140">
        <v>1.1299999999999999</v>
      </c>
    </row>
    <row r="67" spans="17:66" x14ac:dyDescent="0.25">
      <c r="Q67" s="129"/>
      <c r="W67" s="16"/>
      <c r="BF67" s="20"/>
      <c r="BJ67" s="13"/>
      <c r="BK67" s="182"/>
    </row>
    <row r="68" spans="17:66" x14ac:dyDescent="0.25">
      <c r="Q68" s="129"/>
      <c r="W68" s="16"/>
      <c r="BF68" s="2"/>
      <c r="BG68" s="116" t="s">
        <v>92</v>
      </c>
      <c r="BH68" s="117"/>
      <c r="BI68" s="117"/>
      <c r="BJ68" s="117" t="s">
        <v>58</v>
      </c>
      <c r="BK68" s="118">
        <v>800000000</v>
      </c>
    </row>
    <row r="69" spans="17:66" x14ac:dyDescent="0.25">
      <c r="Q69" s="129"/>
      <c r="W69" s="16"/>
      <c r="BF69" s="2"/>
      <c r="BG69" s="130"/>
      <c r="BH69" s="117"/>
      <c r="BI69" s="117"/>
      <c r="BJ69" s="117" t="s">
        <v>64</v>
      </c>
      <c r="BK69" s="119">
        <v>1030601212.9999999</v>
      </c>
      <c r="BN69" s="18"/>
    </row>
    <row r="70" spans="17:66" x14ac:dyDescent="0.25">
      <c r="Q70" s="129"/>
      <c r="W70" s="16"/>
      <c r="BF70" s="2"/>
      <c r="BG70" s="121"/>
      <c r="BH70" s="121"/>
      <c r="BI70" s="121"/>
      <c r="BJ70" s="122" t="s">
        <v>53</v>
      </c>
      <c r="BK70" s="123">
        <f>BK68/BK69</f>
        <v>0.77624593286792498</v>
      </c>
      <c r="BL70" s="16"/>
    </row>
    <row r="71" spans="17:66" x14ac:dyDescent="0.25">
      <c r="Q71" s="129"/>
      <c r="W71" s="16"/>
      <c r="BF71" s="2"/>
      <c r="BG71" s="121"/>
      <c r="BH71" s="121"/>
      <c r="BI71" s="121"/>
      <c r="BJ71" s="122" t="s">
        <v>94</v>
      </c>
      <c r="BK71" s="124">
        <v>96971906.090000004</v>
      </c>
      <c r="BL71" s="16"/>
    </row>
    <row r="72" spans="17:66" x14ac:dyDescent="0.25">
      <c r="Q72" s="129"/>
      <c r="W72" s="16"/>
      <c r="BF72" s="2"/>
      <c r="BG72" s="121"/>
      <c r="BH72" s="121"/>
      <c r="BI72" s="121"/>
      <c r="BJ72" s="122" t="s">
        <v>97</v>
      </c>
      <c r="BK72" s="125">
        <f>BK71/BK69</f>
        <v>9.4092559631016093E-2</v>
      </c>
      <c r="BL72" s="16"/>
      <c r="BM72" s="16"/>
    </row>
    <row r="73" spans="17:66" x14ac:dyDescent="0.25">
      <c r="BF73" s="2"/>
      <c r="BG73" s="138"/>
      <c r="BH73" s="138"/>
      <c r="BI73" s="138"/>
      <c r="BJ73" s="139" t="s">
        <v>98</v>
      </c>
      <c r="BK73" s="140">
        <v>1.25</v>
      </c>
      <c r="BL73" s="16"/>
      <c r="BM73" s="16"/>
    </row>
    <row r="74" spans="17:66" x14ac:dyDescent="0.25">
      <c r="BF74" s="2"/>
      <c r="BG74" s="138"/>
      <c r="BH74" s="138"/>
      <c r="BI74" s="138"/>
      <c r="BJ74" s="139" t="s">
        <v>99</v>
      </c>
      <c r="BK74" s="140">
        <v>1.29</v>
      </c>
      <c r="BL74" s="16"/>
      <c r="BM74" s="16"/>
    </row>
    <row r="75" spans="17:66" x14ac:dyDescent="0.25">
      <c r="BF75" s="2"/>
      <c r="BL75" s="16"/>
      <c r="BM75" s="16"/>
    </row>
    <row r="76" spans="17:66" x14ac:dyDescent="0.25">
      <c r="BF76" s="2"/>
      <c r="BG76" s="126" t="s">
        <v>95</v>
      </c>
      <c r="BH76" s="121"/>
      <c r="BI76" s="121"/>
      <c r="BJ76" s="122" t="s">
        <v>89</v>
      </c>
      <c r="BK76" s="124">
        <v>800000000</v>
      </c>
      <c r="BL76" s="16"/>
      <c r="BM76" s="16"/>
    </row>
    <row r="77" spans="17:66" x14ac:dyDescent="0.25">
      <c r="BF77" s="2"/>
      <c r="BG77" s="126"/>
      <c r="BH77" s="121"/>
      <c r="BI77" s="121"/>
      <c r="BJ77" s="122" t="s">
        <v>90</v>
      </c>
      <c r="BK77" s="157">
        <v>1028712892.5725673</v>
      </c>
      <c r="BL77" s="181"/>
    </row>
    <row r="78" spans="17:66" x14ac:dyDescent="0.25">
      <c r="BF78" s="2"/>
      <c r="BG78" s="121"/>
      <c r="BH78" s="121"/>
      <c r="BI78" s="121"/>
      <c r="BJ78" s="122" t="s">
        <v>53</v>
      </c>
      <c r="BK78" s="123">
        <f>BK76/BK77</f>
        <v>0.77767082125255516</v>
      </c>
      <c r="BL78" s="16"/>
    </row>
    <row r="79" spans="17:66" x14ac:dyDescent="0.25">
      <c r="BF79" s="2"/>
      <c r="BG79" s="121"/>
      <c r="BH79" s="121"/>
      <c r="BI79" s="121"/>
      <c r="BJ79" s="122" t="s">
        <v>96</v>
      </c>
      <c r="BK79" s="123">
        <v>95307996.209487811</v>
      </c>
      <c r="BL79" s="16"/>
    </row>
    <row r="80" spans="17:66" ht="15" customHeight="1" x14ac:dyDescent="0.25">
      <c r="BF80" s="2"/>
      <c r="BG80" s="121"/>
      <c r="BH80" s="121"/>
      <c r="BI80" s="121"/>
      <c r="BJ80" s="122" t="s">
        <v>104</v>
      </c>
      <c r="BK80" s="125">
        <f>BK79/BK77</f>
        <v>9.2647809605209755E-2</v>
      </c>
      <c r="BL80" s="16"/>
    </row>
    <row r="81" spans="58:68" x14ac:dyDescent="0.25">
      <c r="BF81" s="2"/>
      <c r="BG81" s="138"/>
      <c r="BH81" s="138"/>
      <c r="BI81" s="138"/>
      <c r="BJ81" s="139" t="s">
        <v>112</v>
      </c>
      <c r="BK81" s="140">
        <v>1.29</v>
      </c>
      <c r="BL81" s="16"/>
    </row>
    <row r="82" spans="58:68" x14ac:dyDescent="0.25">
      <c r="BF82" s="2"/>
      <c r="BG82" s="138"/>
      <c r="BH82" s="138"/>
      <c r="BI82" s="138"/>
      <c r="BJ82" s="139" t="s">
        <v>113</v>
      </c>
      <c r="BK82" s="140">
        <v>1.26</v>
      </c>
      <c r="BL82" s="16"/>
    </row>
    <row r="83" spans="58:68" x14ac:dyDescent="0.25">
      <c r="BF83" s="2"/>
      <c r="BJ83" s="13"/>
      <c r="BK83" s="129"/>
      <c r="BL83" s="16"/>
    </row>
    <row r="84" spans="58:68" x14ac:dyDescent="0.25">
      <c r="BF84" s="2"/>
      <c r="BG84" s="126" t="s">
        <v>114</v>
      </c>
      <c r="BH84" s="121"/>
      <c r="BI84" s="121"/>
      <c r="BJ84" s="117" t="s">
        <v>115</v>
      </c>
      <c r="BK84" s="124">
        <v>800000000</v>
      </c>
      <c r="BL84" s="16"/>
    </row>
    <row r="85" spans="58:68" x14ac:dyDescent="0.25">
      <c r="BF85" s="2"/>
      <c r="BG85" s="126"/>
      <c r="BH85" s="121"/>
      <c r="BI85" s="121"/>
      <c r="BJ85" s="117" t="s">
        <v>116</v>
      </c>
      <c r="BK85" s="157">
        <v>1028712892.5725673</v>
      </c>
      <c r="BL85" s="16"/>
    </row>
    <row r="86" spans="58:68" x14ac:dyDescent="0.25">
      <c r="BF86" s="2"/>
      <c r="BG86" s="121"/>
      <c r="BH86" s="121"/>
      <c r="BI86" s="121"/>
      <c r="BJ86" s="122" t="s">
        <v>53</v>
      </c>
      <c r="BK86" s="123">
        <f>BK84/BK85</f>
        <v>0.77767082125255516</v>
      </c>
      <c r="BL86" s="16"/>
    </row>
    <row r="87" spans="58:68" x14ac:dyDescent="0.25">
      <c r="BF87" s="2"/>
      <c r="BG87" s="121"/>
      <c r="BH87" s="121"/>
      <c r="BI87" s="121"/>
      <c r="BJ87" s="122" t="s">
        <v>117</v>
      </c>
      <c r="BK87" s="123">
        <v>95307996.209487811</v>
      </c>
      <c r="BL87" s="16"/>
    </row>
    <row r="88" spans="58:68" x14ac:dyDescent="0.25">
      <c r="BF88" s="2"/>
      <c r="BG88" s="121"/>
      <c r="BH88" s="121"/>
      <c r="BI88" s="121"/>
      <c r="BJ88" s="122" t="s">
        <v>118</v>
      </c>
      <c r="BK88" s="125">
        <f>BK87/BK85</f>
        <v>9.2647809605209755E-2</v>
      </c>
      <c r="BL88" s="16"/>
    </row>
    <row r="89" spans="58:68" x14ac:dyDescent="0.25">
      <c r="BF89" s="2"/>
      <c r="BG89" s="138"/>
      <c r="BH89" s="138"/>
      <c r="BI89" s="138"/>
      <c r="BJ89" s="139" t="s">
        <v>119</v>
      </c>
      <c r="BK89" s="140">
        <v>1.26</v>
      </c>
      <c r="BL89" s="16"/>
    </row>
    <row r="90" spans="58:68" x14ac:dyDescent="0.25">
      <c r="BF90" s="2"/>
      <c r="BJ90" s="13"/>
      <c r="BK90" s="129"/>
    </row>
    <row r="91" spans="58:68" x14ac:dyDescent="0.25">
      <c r="BF91" s="2"/>
      <c r="BG91" s="126" t="s">
        <v>56</v>
      </c>
      <c r="BH91" s="121"/>
      <c r="BI91" s="121"/>
      <c r="BJ91" s="122" t="s">
        <v>105</v>
      </c>
      <c r="BK91" s="124">
        <v>180000000</v>
      </c>
      <c r="BP91" s="13"/>
    </row>
    <row r="92" spans="58:68" x14ac:dyDescent="0.25">
      <c r="BF92" s="2"/>
      <c r="BG92" s="126"/>
      <c r="BH92" s="121"/>
      <c r="BI92" s="121"/>
      <c r="BJ92" s="122" t="s">
        <v>109</v>
      </c>
      <c r="BK92" s="157">
        <v>1032464185</v>
      </c>
      <c r="BO92" s="129"/>
      <c r="BP92" s="128"/>
    </row>
    <row r="93" spans="58:68" x14ac:dyDescent="0.25">
      <c r="BF93" s="2"/>
      <c r="BG93" s="121"/>
      <c r="BH93" s="121"/>
      <c r="BI93" s="121"/>
      <c r="BJ93" s="122" t="s">
        <v>57</v>
      </c>
      <c r="BK93" s="127">
        <f>BK91/(BK92)</f>
        <v>0.1743401878874859</v>
      </c>
      <c r="BO93" s="129"/>
      <c r="BP93" s="128"/>
    </row>
    <row r="94" spans="58:68" x14ac:dyDescent="0.25">
      <c r="BF94" s="2"/>
      <c r="BG94" s="121"/>
      <c r="BH94" s="121"/>
      <c r="BI94" s="121"/>
      <c r="BJ94" s="122"/>
      <c r="BK94" s="127"/>
      <c r="BO94" s="129"/>
      <c r="BP94" s="128"/>
    </row>
    <row r="95" spans="58:68" x14ac:dyDescent="0.25">
      <c r="BF95" s="2"/>
      <c r="BG95" s="121"/>
      <c r="BH95" s="121"/>
      <c r="BI95" s="121"/>
      <c r="BJ95" s="122" t="s">
        <v>110</v>
      </c>
      <c r="BK95" s="124">
        <v>50000000</v>
      </c>
      <c r="BO95" s="129"/>
      <c r="BP95" s="128"/>
    </row>
    <row r="96" spans="58:68" x14ac:dyDescent="0.25">
      <c r="BF96" s="2"/>
      <c r="BG96" s="121"/>
      <c r="BH96" s="121"/>
      <c r="BI96" s="121"/>
      <c r="BJ96" s="122" t="s">
        <v>111</v>
      </c>
      <c r="BK96" s="157">
        <v>427111254</v>
      </c>
      <c r="BO96" s="129"/>
      <c r="BP96" s="128"/>
    </row>
    <row r="97" spans="58:68" x14ac:dyDescent="0.25">
      <c r="BF97" s="2"/>
      <c r="BG97" s="121"/>
      <c r="BH97" s="121"/>
      <c r="BI97" s="121"/>
      <c r="BJ97" s="122" t="s">
        <v>5</v>
      </c>
      <c r="BK97" s="127">
        <f>BK95/(BK96)</f>
        <v>0.11706551754780033</v>
      </c>
      <c r="BO97" s="129"/>
      <c r="BP97" s="128"/>
    </row>
    <row r="98" spans="58:68" x14ac:dyDescent="0.25">
      <c r="BF98" s="2"/>
      <c r="BJ98" s="13"/>
      <c r="BK98" s="129"/>
      <c r="BO98" s="129"/>
      <c r="BP98" s="128"/>
    </row>
    <row r="99" spans="58:68" x14ac:dyDescent="0.25">
      <c r="BF99" s="2"/>
      <c r="BJ99" s="13"/>
      <c r="BK99" s="129"/>
      <c r="BO99" s="129"/>
      <c r="BP99" s="128"/>
    </row>
    <row r="100" spans="58:68" x14ac:dyDescent="0.25">
      <c r="BG100" s="131" t="s">
        <v>59</v>
      </c>
      <c r="BH100" s="22"/>
      <c r="BI100" s="22"/>
      <c r="BJ100" s="22"/>
      <c r="BK100" s="22"/>
    </row>
    <row r="101" spans="58:68" x14ac:dyDescent="0.25">
      <c r="BG101" s="22"/>
      <c r="BH101" s="22"/>
      <c r="BI101" s="22"/>
      <c r="BJ101" s="195" t="s">
        <v>0</v>
      </c>
      <c r="BK101" s="195" t="s">
        <v>1</v>
      </c>
    </row>
    <row r="102" spans="58:68" x14ac:dyDescent="0.25">
      <c r="BG102" s="22"/>
      <c r="BH102" s="132" t="s">
        <v>2</v>
      </c>
      <c r="BI102" s="132" t="s">
        <v>3</v>
      </c>
      <c r="BJ102" s="195"/>
      <c r="BK102" s="195"/>
    </row>
    <row r="103" spans="58:68" x14ac:dyDescent="0.25">
      <c r="BG103" s="133"/>
      <c r="BH103" s="133">
        <v>2500</v>
      </c>
      <c r="BI103" s="133">
        <v>2829</v>
      </c>
      <c r="BJ103" s="134">
        <v>23278</v>
      </c>
      <c r="BK103" s="134">
        <f>BJ103/12</f>
        <v>1939.8333333333333</v>
      </c>
      <c r="BP103" s="18"/>
    </row>
    <row r="104" spans="58:68" x14ac:dyDescent="0.25">
      <c r="BG104" s="133"/>
      <c r="BH104" s="133">
        <v>2830</v>
      </c>
      <c r="BI104" s="133">
        <v>3149</v>
      </c>
      <c r="BJ104" s="134">
        <v>24190</v>
      </c>
      <c r="BK104" s="134">
        <f>BJ104/12</f>
        <v>2015.8333333333333</v>
      </c>
      <c r="BP104" s="18"/>
    </row>
    <row r="105" spans="58:68" x14ac:dyDescent="0.25">
      <c r="BG105" s="133"/>
      <c r="BH105" s="133">
        <v>3150</v>
      </c>
      <c r="BI105" s="133" t="s">
        <v>4</v>
      </c>
      <c r="BJ105" s="134">
        <v>25100</v>
      </c>
      <c r="BK105" s="134">
        <f>BJ105/12</f>
        <v>2091.6666666666665</v>
      </c>
      <c r="BP105" s="18"/>
    </row>
    <row r="106" spans="58:68" ht="15.75" thickBot="1" x14ac:dyDescent="0.3">
      <c r="BJ106" s="17"/>
      <c r="BK106" s="17"/>
    </row>
    <row r="107" spans="58:68" x14ac:dyDescent="0.25">
      <c r="BG107" s="135" t="s">
        <v>60</v>
      </c>
      <c r="BH107" s="136"/>
      <c r="BI107" s="136"/>
      <c r="BJ107" s="136"/>
      <c r="BK107" s="136"/>
    </row>
    <row r="108" spans="58:68" x14ac:dyDescent="0.25">
      <c r="BF108" s="2"/>
      <c r="BG108" s="22"/>
      <c r="BH108" s="22"/>
      <c r="BI108" s="22"/>
      <c r="BJ108" s="195" t="s">
        <v>0</v>
      </c>
      <c r="BK108" s="195" t="s">
        <v>1</v>
      </c>
    </row>
    <row r="109" spans="58:68" x14ac:dyDescent="0.25">
      <c r="BF109" s="2"/>
      <c r="BG109" s="22"/>
      <c r="BH109" s="132" t="s">
        <v>2</v>
      </c>
      <c r="BI109" s="132" t="s">
        <v>3</v>
      </c>
      <c r="BJ109" s="195"/>
      <c r="BK109" s="195"/>
    </row>
    <row r="110" spans="58:68" x14ac:dyDescent="0.25">
      <c r="BF110" s="19"/>
      <c r="BG110" s="133"/>
      <c r="BH110" s="133">
        <v>2500</v>
      </c>
      <c r="BI110" s="133">
        <v>2828.9999999999995</v>
      </c>
      <c r="BJ110" s="134">
        <v>18622.399999999998</v>
      </c>
      <c r="BK110" s="134">
        <v>1551.8666666666666</v>
      </c>
    </row>
    <row r="111" spans="58:68" x14ac:dyDescent="0.25">
      <c r="BF111" s="19"/>
      <c r="BG111" s="133"/>
      <c r="BH111" s="133">
        <v>2829.9999999999995</v>
      </c>
      <c r="BI111" s="133">
        <v>3149</v>
      </c>
      <c r="BJ111" s="134">
        <v>19352</v>
      </c>
      <c r="BK111" s="134">
        <v>1612.6666666666667</v>
      </c>
    </row>
    <row r="112" spans="58:68" x14ac:dyDescent="0.25">
      <c r="BF112" s="19"/>
      <c r="BG112" s="133"/>
      <c r="BH112" s="133">
        <v>3150</v>
      </c>
      <c r="BI112" s="133" t="s">
        <v>4</v>
      </c>
      <c r="BJ112" s="134">
        <v>20080</v>
      </c>
      <c r="BK112" s="134">
        <v>1673.3333333333333</v>
      </c>
    </row>
    <row r="113" spans="2:65" ht="15.75" thickBot="1" x14ac:dyDescent="0.3">
      <c r="BF113" s="19"/>
      <c r="BJ113" s="137"/>
      <c r="BK113" s="137"/>
    </row>
    <row r="114" spans="2:65" x14ac:dyDescent="0.25">
      <c r="BF114" s="19"/>
      <c r="BG114" s="135" t="s">
        <v>61</v>
      </c>
      <c r="BH114" s="136"/>
      <c r="BI114" s="141"/>
      <c r="BJ114" s="136"/>
      <c r="BK114" s="136"/>
    </row>
    <row r="115" spans="2:65" x14ac:dyDescent="0.25">
      <c r="BF115" s="19"/>
      <c r="BG115" s="22"/>
      <c r="BH115" s="22"/>
      <c r="BI115" s="132"/>
      <c r="BJ115" s="195" t="s">
        <v>0</v>
      </c>
      <c r="BK115" s="195" t="s">
        <v>1</v>
      </c>
      <c r="BM115" s="4"/>
    </row>
    <row r="116" spans="2:65" x14ac:dyDescent="0.25">
      <c r="AE116" s="4"/>
      <c r="AF116" s="4"/>
      <c r="AG116" s="4"/>
      <c r="AH116" s="4"/>
      <c r="AI116" s="4"/>
      <c r="AJ116" s="4"/>
      <c r="AK116" s="4"/>
      <c r="AL116" s="4"/>
      <c r="AM116" s="4"/>
      <c r="AN116" s="4"/>
      <c r="AO116" s="4"/>
      <c r="AP116" s="4"/>
      <c r="BF116" s="19"/>
      <c r="BG116" s="132"/>
      <c r="BH116" s="132" t="s">
        <v>2</v>
      </c>
      <c r="BI116" s="132" t="s">
        <v>3</v>
      </c>
      <c r="BJ116" s="195"/>
      <c r="BK116" s="195"/>
      <c r="BM116" s="4"/>
    </row>
    <row r="117" spans="2:65" s="4" customFormat="1" ht="18" customHeight="1" x14ac:dyDescent="0.25">
      <c r="B117" s="31"/>
      <c r="C117" s="31"/>
      <c r="D117" s="31"/>
      <c r="E117" s="31"/>
      <c r="F117" s="31"/>
      <c r="G117" s="31"/>
      <c r="AQ117" s="6"/>
      <c r="AR117" s="6"/>
      <c r="AS117" s="6"/>
      <c r="AT117" s="6"/>
      <c r="AU117" s="6"/>
      <c r="AV117" s="6"/>
      <c r="AW117" s="6"/>
      <c r="AX117" s="6"/>
      <c r="AY117" s="6"/>
      <c r="AZ117" s="6"/>
      <c r="BA117" s="6"/>
      <c r="BB117" s="6"/>
      <c r="BC117" s="6"/>
      <c r="BD117" s="6"/>
      <c r="BE117" s="6"/>
      <c r="BF117" s="19"/>
      <c r="BG117" s="133"/>
      <c r="BH117" s="133">
        <v>2500</v>
      </c>
      <c r="BI117" s="142">
        <v>2828.9999999999995</v>
      </c>
      <c r="BJ117" s="134">
        <v>13966.8</v>
      </c>
      <c r="BK117" s="134">
        <v>1163.8999999999999</v>
      </c>
      <c r="BL117" s="6"/>
      <c r="BM117" s="6"/>
    </row>
    <row r="118" spans="2:65" s="4" customFormat="1" ht="18" customHeight="1" x14ac:dyDescent="0.25">
      <c r="B118" s="31"/>
      <c r="C118" s="31"/>
      <c r="D118" s="31"/>
      <c r="E118" s="31"/>
      <c r="F118" s="31"/>
      <c r="G118" s="31"/>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19"/>
      <c r="BG118" s="143"/>
      <c r="BH118" s="143">
        <v>2829.9999999999995</v>
      </c>
      <c r="BI118" s="144">
        <v>3149</v>
      </c>
      <c r="BJ118" s="134">
        <v>14514</v>
      </c>
      <c r="BK118" s="134">
        <v>1209.5</v>
      </c>
      <c r="BL118" s="6"/>
      <c r="BM118" s="6"/>
    </row>
    <row r="119" spans="2:65" x14ac:dyDescent="0.25">
      <c r="BF119" s="19"/>
      <c r="BG119" s="133"/>
      <c r="BH119" s="133">
        <v>3150</v>
      </c>
      <c r="BI119" s="144" t="s">
        <v>4</v>
      </c>
      <c r="BJ119" s="134">
        <v>15060</v>
      </c>
      <c r="BK119" s="134">
        <v>1255</v>
      </c>
    </row>
    <row r="120" spans="2:65" ht="15.75" thickBot="1" x14ac:dyDescent="0.3">
      <c r="AQ120" s="4"/>
      <c r="AR120" s="4"/>
      <c r="AS120" s="4"/>
      <c r="AT120" s="4"/>
      <c r="AU120" s="4"/>
      <c r="AV120" s="4"/>
      <c r="AW120" s="4"/>
      <c r="AX120" s="4"/>
      <c r="AY120" s="4"/>
      <c r="AZ120" s="4"/>
      <c r="BA120" s="4"/>
      <c r="BB120" s="4"/>
      <c r="BC120" s="4"/>
      <c r="BD120" s="4"/>
      <c r="BE120" s="4"/>
    </row>
    <row r="121" spans="2:65" x14ac:dyDescent="0.25">
      <c r="AQ121" s="4"/>
      <c r="AR121" s="4"/>
      <c r="AS121" s="4"/>
      <c r="AT121" s="4"/>
      <c r="AU121" s="4"/>
      <c r="AV121" s="4"/>
      <c r="AW121" s="4"/>
      <c r="AX121" s="4"/>
      <c r="AY121" s="4"/>
      <c r="AZ121" s="4"/>
      <c r="BA121" s="4"/>
      <c r="BB121" s="4"/>
      <c r="BC121" s="4"/>
      <c r="BD121" s="4"/>
      <c r="BE121" s="4"/>
      <c r="BG121" s="135" t="s">
        <v>100</v>
      </c>
      <c r="BH121" s="136"/>
      <c r="BI121" s="141"/>
      <c r="BJ121" s="136"/>
      <c r="BK121" s="136"/>
    </row>
    <row r="122" spans="2:65" x14ac:dyDescent="0.25">
      <c r="BG122" s="22"/>
      <c r="BH122" s="22"/>
      <c r="BI122" s="132"/>
      <c r="BJ122" s="195" t="s">
        <v>0</v>
      </c>
      <c r="BK122" s="195" t="s">
        <v>1</v>
      </c>
    </row>
    <row r="123" spans="2:65" x14ac:dyDescent="0.25">
      <c r="BG123" s="132"/>
      <c r="BH123" s="132" t="s">
        <v>2</v>
      </c>
      <c r="BI123" s="132" t="s">
        <v>3</v>
      </c>
      <c r="BJ123" s="195"/>
      <c r="BK123" s="195"/>
    </row>
    <row r="124" spans="2:65" x14ac:dyDescent="0.25">
      <c r="BF124" s="19"/>
      <c r="BG124" s="133"/>
      <c r="BH124" s="133">
        <v>2500</v>
      </c>
      <c r="BI124" s="142">
        <v>2828.9999999999995</v>
      </c>
      <c r="BJ124" s="134">
        <v>13966.8</v>
      </c>
      <c r="BK124" s="134">
        <v>1163.8999999999999</v>
      </c>
    </row>
    <row r="125" spans="2:65" x14ac:dyDescent="0.25">
      <c r="BF125" s="19"/>
      <c r="BG125" s="143"/>
      <c r="BH125" s="143">
        <v>2829.9999999999995</v>
      </c>
      <c r="BI125" s="144">
        <v>3149</v>
      </c>
      <c r="BJ125" s="134">
        <v>14514</v>
      </c>
      <c r="BK125" s="134">
        <v>1209.5</v>
      </c>
    </row>
    <row r="126" spans="2:65" x14ac:dyDescent="0.25">
      <c r="BF126" s="19"/>
      <c r="BG126" s="133"/>
      <c r="BH126" s="133">
        <v>3150</v>
      </c>
      <c r="BI126" s="144" t="s">
        <v>4</v>
      </c>
      <c r="BJ126" s="134">
        <v>15060</v>
      </c>
      <c r="BK126" s="134">
        <v>1255</v>
      </c>
    </row>
    <row r="127" spans="2:65" ht="15.75" thickBot="1" x14ac:dyDescent="0.3">
      <c r="BF127" s="19"/>
    </row>
    <row r="128" spans="2:65" x14ac:dyDescent="0.25">
      <c r="BF128" s="19"/>
      <c r="BG128" s="135" t="s">
        <v>124</v>
      </c>
      <c r="BH128" s="136"/>
      <c r="BI128" s="141"/>
      <c r="BJ128" s="136"/>
      <c r="BK128" s="136"/>
    </row>
    <row r="129" spans="58:64" x14ac:dyDescent="0.25">
      <c r="BF129" s="19"/>
      <c r="BG129" s="22"/>
      <c r="BH129" s="22"/>
      <c r="BI129" s="132"/>
      <c r="BJ129" s="195" t="s">
        <v>0</v>
      </c>
      <c r="BK129" s="195" t="s">
        <v>1</v>
      </c>
    </row>
    <row r="130" spans="58:64" x14ac:dyDescent="0.25">
      <c r="BF130" s="19"/>
      <c r="BG130" s="132"/>
      <c r="BH130" s="132" t="s">
        <v>2</v>
      </c>
      <c r="BI130" s="132" t="s">
        <v>3</v>
      </c>
      <c r="BJ130" s="195"/>
      <c r="BK130" s="195"/>
    </row>
    <row r="131" spans="58:64" x14ac:dyDescent="0.25">
      <c r="BF131" s="19"/>
      <c r="BG131" s="133"/>
      <c r="BH131" s="133">
        <v>2500</v>
      </c>
      <c r="BI131" s="142">
        <v>2828.9999999999995</v>
      </c>
      <c r="BJ131" s="134">
        <v>13966.8</v>
      </c>
      <c r="BK131" s="134">
        <v>1163.8999999999999</v>
      </c>
    </row>
    <row r="132" spans="58:64" x14ac:dyDescent="0.25">
      <c r="BF132" s="19"/>
      <c r="BG132" s="143"/>
      <c r="BH132" s="143">
        <v>2829.9999999999995</v>
      </c>
      <c r="BI132" s="144">
        <v>3149</v>
      </c>
      <c r="BJ132" s="134">
        <v>14514</v>
      </c>
      <c r="BK132" s="134">
        <v>1209.5</v>
      </c>
    </row>
    <row r="133" spans="58:64" x14ac:dyDescent="0.25">
      <c r="BF133" s="19"/>
      <c r="BG133" s="133"/>
      <c r="BH133" s="133">
        <v>3150</v>
      </c>
      <c r="BI133" s="144" t="s">
        <v>4</v>
      </c>
      <c r="BJ133" s="134">
        <v>15060</v>
      </c>
      <c r="BK133" s="134">
        <v>1255</v>
      </c>
    </row>
    <row r="134" spans="58:64" x14ac:dyDescent="0.25">
      <c r="BF134" s="19"/>
    </row>
    <row r="135" spans="58:64" x14ac:dyDescent="0.25">
      <c r="BF135" s="19"/>
      <c r="BG135" s="158" t="s">
        <v>101</v>
      </c>
      <c r="BH135" s="154"/>
      <c r="BI135" s="154"/>
      <c r="BJ135" s="155" t="s">
        <v>63</v>
      </c>
      <c r="BK135" s="156">
        <v>4640</v>
      </c>
      <c r="BL135" s="4" t="s">
        <v>66</v>
      </c>
    </row>
    <row r="136" spans="58:64" x14ac:dyDescent="0.25">
      <c r="BF136" s="19"/>
      <c r="BG136" s="154"/>
      <c r="BH136" s="154"/>
      <c r="BI136" s="154"/>
      <c r="BJ136" s="155" t="s">
        <v>62</v>
      </c>
      <c r="BK136" s="156">
        <v>1760</v>
      </c>
      <c r="BL136" s="4" t="s">
        <v>66</v>
      </c>
    </row>
    <row r="138" spans="58:64" x14ac:dyDescent="0.25">
      <c r="BG138" s="158" t="s">
        <v>102</v>
      </c>
      <c r="BH138" s="154"/>
      <c r="BI138" s="154"/>
      <c r="BJ138" s="155" t="s">
        <v>63</v>
      </c>
      <c r="BK138" s="156">
        <v>3200</v>
      </c>
      <c r="BL138" s="4" t="s">
        <v>103</v>
      </c>
    </row>
    <row r="139" spans="58:64" x14ac:dyDescent="0.25">
      <c r="BG139" s="154"/>
      <c r="BH139" s="154"/>
      <c r="BI139" s="154"/>
      <c r="BJ139" s="155" t="s">
        <v>62</v>
      </c>
      <c r="BK139" s="156">
        <v>3200</v>
      </c>
      <c r="BL139" s="4" t="s">
        <v>103</v>
      </c>
    </row>
  </sheetData>
  <sheetProtection sheet="1" objects="1" scenarios="1"/>
  <mergeCells count="29">
    <mergeCell ref="BJ129:BJ130"/>
    <mergeCell ref="BK129:BK130"/>
    <mergeCell ref="H11:M11"/>
    <mergeCell ref="N11:S11"/>
    <mergeCell ref="T11:Y11"/>
    <mergeCell ref="Z11:AE11"/>
    <mergeCell ref="AR11:AW11"/>
    <mergeCell ref="BV38:BV39"/>
    <mergeCell ref="BW38:BZ39"/>
    <mergeCell ref="BJ115:BJ116"/>
    <mergeCell ref="BK115:BK116"/>
    <mergeCell ref="BJ50:BJ51"/>
    <mergeCell ref="BK50:BK51"/>
    <mergeCell ref="BJ101:BJ102"/>
    <mergeCell ref="BK101:BK102"/>
    <mergeCell ref="BJ108:BJ109"/>
    <mergeCell ref="BK108:BK109"/>
    <mergeCell ref="BJ42:BJ43"/>
    <mergeCell ref="BK42:BK43"/>
    <mergeCell ref="AF4:AW4"/>
    <mergeCell ref="AF11:AK11"/>
    <mergeCell ref="AL11:AQ11"/>
    <mergeCell ref="BJ122:BJ123"/>
    <mergeCell ref="BK122:BK123"/>
    <mergeCell ref="BJ26:BJ27"/>
    <mergeCell ref="BK26:BK27"/>
    <mergeCell ref="BJ34:BJ35"/>
    <mergeCell ref="BK34:BK35"/>
    <mergeCell ref="AX11:BC11"/>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BA9E5"/>
  </sheetPr>
  <dimension ref="B1:AR41"/>
  <sheetViews>
    <sheetView topLeftCell="Q1" workbookViewId="0">
      <selection activeCell="AM1" sqref="AM1"/>
    </sheetView>
  </sheetViews>
  <sheetFormatPr defaultRowHeight="15" x14ac:dyDescent="0.25"/>
  <cols>
    <col min="1" max="1" width="15.5703125" style="6" customWidth="1"/>
    <col min="2" max="2" width="11" style="6" bestFit="1" customWidth="1"/>
    <col min="3" max="3" width="13.42578125" style="6" customWidth="1"/>
    <col min="4" max="4" width="15" style="6" customWidth="1"/>
    <col min="5" max="5" width="13.7109375" style="6" customWidth="1"/>
    <col min="6" max="6" width="14.7109375" style="6" customWidth="1"/>
    <col min="7" max="7" width="14.140625" style="6" customWidth="1"/>
    <col min="8" max="8" width="9.140625" style="6"/>
    <col min="9" max="9" width="4.140625" style="6" customWidth="1"/>
    <col min="10" max="10" width="8" style="6" customWidth="1"/>
    <col min="11" max="11" width="9.140625" style="6"/>
    <col min="12" max="12" width="14.42578125" style="6" customWidth="1"/>
    <col min="13" max="13" width="17" style="6" customWidth="1"/>
    <col min="14" max="14" width="16.85546875" style="6" customWidth="1"/>
    <col min="15" max="15" width="15.42578125" style="6" customWidth="1"/>
    <col min="16" max="16" width="14.42578125" style="6" customWidth="1"/>
    <col min="17" max="18" width="9.140625" style="6"/>
    <col min="19" max="19" width="14.42578125" style="6" customWidth="1"/>
    <col min="20" max="20" width="17" style="6" customWidth="1"/>
    <col min="21" max="21" width="16.85546875" style="6" customWidth="1"/>
    <col min="22" max="22" width="15.42578125" style="6" customWidth="1"/>
    <col min="23" max="23" width="14.42578125" style="6" customWidth="1"/>
    <col min="24" max="24" width="9.140625" style="6"/>
    <col min="25" max="25" width="12.28515625" style="6" customWidth="1"/>
    <col min="26" max="30" width="13.7109375" style="6" customWidth="1"/>
    <col min="31" max="31" width="9.140625" style="6"/>
    <col min="32" max="37" width="13.28515625" style="6" customWidth="1"/>
    <col min="38" max="38" width="9.140625" style="6"/>
    <col min="39" max="44" width="13.28515625" style="6" customWidth="1"/>
    <col min="45" max="16384" width="9.140625" style="6"/>
  </cols>
  <sheetData>
    <row r="1" spans="2:43" ht="36" customHeight="1" x14ac:dyDescent="0.35">
      <c r="B1" s="163" t="s">
        <v>73</v>
      </c>
      <c r="K1" s="163" t="s">
        <v>84</v>
      </c>
      <c r="R1" s="163" t="s">
        <v>125</v>
      </c>
      <c r="Y1" s="163" t="s">
        <v>128</v>
      </c>
      <c r="AF1" s="163" t="s">
        <v>131</v>
      </c>
      <c r="AM1" s="163" t="s">
        <v>134</v>
      </c>
    </row>
    <row r="2" spans="2:43" ht="30" customHeight="1" thickBot="1" x14ac:dyDescent="0.3">
      <c r="B2" s="199" t="s">
        <v>82</v>
      </c>
      <c r="C2" s="199"/>
      <c r="D2" s="199"/>
      <c r="E2" s="199"/>
      <c r="F2" s="199"/>
      <c r="K2" s="199" t="s">
        <v>85</v>
      </c>
      <c r="L2" s="199"/>
      <c r="M2" s="199"/>
      <c r="N2" s="199"/>
      <c r="O2" s="199"/>
      <c r="R2" s="199" t="s">
        <v>127</v>
      </c>
      <c r="S2" s="199"/>
      <c r="T2" s="199"/>
      <c r="U2" s="199"/>
      <c r="V2" s="199"/>
      <c r="Y2" s="199" t="s">
        <v>129</v>
      </c>
      <c r="Z2" s="199"/>
      <c r="AA2" s="199"/>
      <c r="AB2" s="199"/>
      <c r="AC2" s="199"/>
      <c r="AF2" s="199" t="s">
        <v>132</v>
      </c>
      <c r="AG2" s="199"/>
      <c r="AH2" s="199"/>
      <c r="AI2" s="199"/>
      <c r="AJ2" s="199"/>
      <c r="AM2" s="199" t="s">
        <v>135</v>
      </c>
      <c r="AN2" s="199"/>
      <c r="AO2" s="199"/>
      <c r="AP2" s="199"/>
      <c r="AQ2" s="199"/>
    </row>
    <row r="3" spans="2:43" ht="52.5" thickBot="1" x14ac:dyDescent="0.3">
      <c r="B3" s="164" t="s">
        <v>74</v>
      </c>
      <c r="C3" s="164" t="s">
        <v>75</v>
      </c>
      <c r="D3" s="164" t="s">
        <v>76</v>
      </c>
      <c r="E3" s="165" t="s">
        <v>77</v>
      </c>
      <c r="F3" s="165" t="s">
        <v>78</v>
      </c>
      <c r="K3" s="164" t="s">
        <v>74</v>
      </c>
      <c r="L3" s="164" t="s">
        <v>75</v>
      </c>
      <c r="M3" s="164" t="s">
        <v>76</v>
      </c>
      <c r="N3" s="165" t="s">
        <v>77</v>
      </c>
      <c r="O3" s="165" t="s">
        <v>78</v>
      </c>
      <c r="R3" s="164" t="s">
        <v>74</v>
      </c>
      <c r="S3" s="164" t="s">
        <v>75</v>
      </c>
      <c r="T3" s="164" t="s">
        <v>76</v>
      </c>
      <c r="U3" s="165" t="s">
        <v>77</v>
      </c>
      <c r="V3" s="165" t="s">
        <v>78</v>
      </c>
      <c r="Y3" s="164" t="s">
        <v>74</v>
      </c>
      <c r="Z3" s="164" t="s">
        <v>75</v>
      </c>
      <c r="AA3" s="164" t="s">
        <v>76</v>
      </c>
      <c r="AB3" s="165" t="s">
        <v>77</v>
      </c>
      <c r="AC3" s="165" t="s">
        <v>78</v>
      </c>
      <c r="AF3" s="164" t="s">
        <v>74</v>
      </c>
      <c r="AG3" s="164" t="s">
        <v>75</v>
      </c>
      <c r="AH3" s="164" t="s">
        <v>76</v>
      </c>
      <c r="AI3" s="165" t="s">
        <v>77</v>
      </c>
      <c r="AJ3" s="165" t="s">
        <v>78</v>
      </c>
      <c r="AM3" s="164" t="s">
        <v>74</v>
      </c>
      <c r="AN3" s="164" t="s">
        <v>75</v>
      </c>
      <c r="AO3" s="164" t="s">
        <v>76</v>
      </c>
      <c r="AP3" s="165" t="s">
        <v>77</v>
      </c>
      <c r="AQ3" s="165" t="s">
        <v>78</v>
      </c>
    </row>
    <row r="4" spans="2:43" x14ac:dyDescent="0.25">
      <c r="B4" s="166">
        <v>1000</v>
      </c>
      <c r="C4" s="167">
        <f>F23</f>
        <v>1346.8319768825677</v>
      </c>
      <c r="D4" s="167">
        <f>Cashflow!$BK$70*B4</f>
        <v>776.24593286792503</v>
      </c>
      <c r="E4" s="168">
        <f>D4+C4</f>
        <v>2123.0779097504928</v>
      </c>
      <c r="F4" s="169">
        <f>E4/B4</f>
        <v>2.123077909750493</v>
      </c>
      <c r="K4" s="166">
        <v>1000</v>
      </c>
      <c r="L4" s="167">
        <f>O23</f>
        <v>1346.8319768825677</v>
      </c>
      <c r="M4" s="167">
        <f>(Cashflow!$BK$70-Cashflow!$BK$93)*'Indicative Income Tables'!K4</f>
        <v>601.90574498043907</v>
      </c>
      <c r="N4" s="168">
        <f>M4+L4</f>
        <v>1948.7377218630068</v>
      </c>
      <c r="O4" s="169">
        <f>N4/K4</f>
        <v>1.9487377218630066</v>
      </c>
      <c r="R4" s="166">
        <v>1000</v>
      </c>
      <c r="S4" s="167">
        <f>V23</f>
        <v>1382.6478096052097</v>
      </c>
      <c r="T4" s="167">
        <f>(Cashflow!$BK$78-Cashflow!$BK$93)*'Indicative Income Tables'!R4</f>
        <v>603.33063336506916</v>
      </c>
      <c r="U4" s="168">
        <f>T4+S4</f>
        <v>1985.9784429702788</v>
      </c>
      <c r="V4" s="169">
        <f>U4/R4</f>
        <v>1.9859784429702789</v>
      </c>
      <c r="Y4" s="166">
        <v>1000</v>
      </c>
      <c r="Z4" s="167">
        <f>AC23</f>
        <v>1382.6478096052097</v>
      </c>
      <c r="AA4" s="167">
        <f>(Cashflow!$BK$78)*'Indicative Income Tables'!Y4</f>
        <v>777.67082125255513</v>
      </c>
      <c r="AB4" s="168">
        <f>AA4+Z4</f>
        <v>2160.3186308577647</v>
      </c>
      <c r="AC4" s="169">
        <f>AB4/Y4</f>
        <v>2.1603186308577649</v>
      </c>
      <c r="AF4" s="166">
        <v>1000</v>
      </c>
      <c r="AG4" s="167">
        <f>AJ23</f>
        <v>1352.6478096052097</v>
      </c>
      <c r="AH4" s="167">
        <f>(Cashflow!$BK$78-Cashflow!$BK$97)*'Indicative Income Tables'!AF4</f>
        <v>660.60530370475476</v>
      </c>
      <c r="AI4" s="168">
        <f>AH4+AG4</f>
        <v>2013.2531133099644</v>
      </c>
      <c r="AJ4" s="169">
        <f>AI4/AF4</f>
        <v>2.0132531133099643</v>
      </c>
      <c r="AM4" s="166">
        <v>1000</v>
      </c>
      <c r="AN4" s="167">
        <f>AQ23</f>
        <v>1352.6478096052097</v>
      </c>
      <c r="AO4" s="167">
        <f>(Cashflow!$BK$86)*'Indicative Income Tables'!AM4</f>
        <v>777.67082125255513</v>
      </c>
      <c r="AP4" s="168">
        <f>AO4+AN4</f>
        <v>2130.3186308577647</v>
      </c>
      <c r="AQ4" s="169">
        <f>AP4/AM4</f>
        <v>2.1303186308577646</v>
      </c>
    </row>
    <row r="5" spans="2:43" x14ac:dyDescent="0.25">
      <c r="B5" s="166">
        <v>2000</v>
      </c>
      <c r="C5" s="167">
        <f t="shared" ref="C5:C18" si="0">F24</f>
        <v>2693.6639537651354</v>
      </c>
      <c r="D5" s="167">
        <f>Cashflow!$BK$70*B5</f>
        <v>1552.4918657358501</v>
      </c>
      <c r="E5" s="168">
        <f t="shared" ref="E5:E18" si="1">D5+C5</f>
        <v>4246.1558195009857</v>
      </c>
      <c r="F5" s="169">
        <f t="shared" ref="F5:F18" si="2">E5/B5</f>
        <v>2.123077909750493</v>
      </c>
      <c r="K5" s="166">
        <v>2000</v>
      </c>
      <c r="L5" s="167">
        <f t="shared" ref="L5:L18" si="3">O24</f>
        <v>2693.6639537651354</v>
      </c>
      <c r="M5" s="167">
        <f>(Cashflow!$BK$70-Cashflow!$BK$93)*'Indicative Income Tables'!K5</f>
        <v>1203.8114899608781</v>
      </c>
      <c r="N5" s="168">
        <f t="shared" ref="N5:N18" si="4">M5+L5</f>
        <v>3897.4754437260135</v>
      </c>
      <c r="O5" s="169">
        <f t="shared" ref="O5:O18" si="5">N5/K5</f>
        <v>1.9487377218630066</v>
      </c>
      <c r="R5" s="166">
        <v>2000</v>
      </c>
      <c r="S5" s="167">
        <f>V24</f>
        <v>2765.2956192104193</v>
      </c>
      <c r="T5" s="167">
        <f>(Cashflow!$BK$78-Cashflow!$BK$93)*'Indicative Income Tables'!R5</f>
        <v>1206.6612667301383</v>
      </c>
      <c r="U5" s="168">
        <f t="shared" ref="U5:U18" si="6">T5+S5</f>
        <v>3971.9568859405576</v>
      </c>
      <c r="V5" s="169">
        <f t="shared" ref="V5:V18" si="7">U5/R5</f>
        <v>1.9859784429702789</v>
      </c>
      <c r="Y5" s="166">
        <v>2000</v>
      </c>
      <c r="Z5" s="167">
        <f>AC24</f>
        <v>2765.2956192104193</v>
      </c>
      <c r="AA5" s="167">
        <f>(Cashflow!$BK$78)*'Indicative Income Tables'!Y5</f>
        <v>1555.3416425051103</v>
      </c>
      <c r="AB5" s="168">
        <f t="shared" ref="AB5:AB18" si="8">AA5+Z5</f>
        <v>4320.6372617155293</v>
      </c>
      <c r="AC5" s="169">
        <f t="shared" ref="AC5:AC18" si="9">AB5/Y5</f>
        <v>2.1603186308577649</v>
      </c>
      <c r="AF5" s="166">
        <v>2000</v>
      </c>
      <c r="AG5" s="167">
        <f>AJ24</f>
        <v>2705.2956192104193</v>
      </c>
      <c r="AH5" s="167">
        <f>(Cashflow!$BK$78-Cashflow!$BK$97)*'Indicative Income Tables'!AF5</f>
        <v>1321.2106074095095</v>
      </c>
      <c r="AI5" s="168">
        <f t="shared" ref="AI5:AI18" si="10">AH5+AG5</f>
        <v>4026.5062266199288</v>
      </c>
      <c r="AJ5" s="169">
        <f t="shared" ref="AJ5:AJ18" si="11">AI5/AF5</f>
        <v>2.0132531133099643</v>
      </c>
      <c r="AM5" s="166">
        <v>2000</v>
      </c>
      <c r="AN5" s="167">
        <f>AQ24</f>
        <v>2705.2956192104193</v>
      </c>
      <c r="AO5" s="167">
        <f>(Cashflow!$BK$86)*'Indicative Income Tables'!AM5</f>
        <v>1555.3416425051103</v>
      </c>
      <c r="AP5" s="168">
        <f t="shared" ref="AP5:AP18" si="12">AO5+AN5</f>
        <v>4260.6372617155293</v>
      </c>
      <c r="AQ5" s="169">
        <f t="shared" ref="AQ5:AQ18" si="13">AP5/AM5</f>
        <v>2.1303186308577646</v>
      </c>
    </row>
    <row r="6" spans="2:43" x14ac:dyDescent="0.25">
      <c r="B6" s="166">
        <v>2500</v>
      </c>
      <c r="C6" s="167">
        <f t="shared" si="0"/>
        <v>4530.9799422064189</v>
      </c>
      <c r="D6" s="167">
        <f>Cashflow!$BK$70*B6</f>
        <v>1940.6148321698124</v>
      </c>
      <c r="E6" s="168">
        <f t="shared" si="1"/>
        <v>6471.5947743762317</v>
      </c>
      <c r="F6" s="169">
        <f t="shared" si="2"/>
        <v>2.5886379097504926</v>
      </c>
      <c r="K6" s="166">
        <v>2500</v>
      </c>
      <c r="L6" s="167">
        <f t="shared" si="3"/>
        <v>4530.9799422064189</v>
      </c>
      <c r="M6" s="167">
        <f>(Cashflow!$BK$70-Cashflow!$BK$93)*'Indicative Income Tables'!K6</f>
        <v>1504.7643624510977</v>
      </c>
      <c r="N6" s="168">
        <f t="shared" si="4"/>
        <v>6035.7443046575163</v>
      </c>
      <c r="O6" s="169">
        <f t="shared" si="5"/>
        <v>2.4142977218630066</v>
      </c>
      <c r="R6" s="166">
        <v>2500</v>
      </c>
      <c r="S6" s="167">
        <f t="shared" ref="S6:S18" si="14">V25</f>
        <v>4620.5195240130242</v>
      </c>
      <c r="T6" s="167">
        <f>(Cashflow!$BK$78-Cashflow!$BK$93)*'Indicative Income Tables'!R6</f>
        <v>1508.326583412673</v>
      </c>
      <c r="U6" s="168">
        <f t="shared" si="6"/>
        <v>6128.8461074256975</v>
      </c>
      <c r="V6" s="169">
        <f t="shared" si="7"/>
        <v>2.4515384429702789</v>
      </c>
      <c r="Y6" s="166">
        <v>2500</v>
      </c>
      <c r="Z6" s="167">
        <f t="shared" ref="Z6:Z18" si="15">AC25</f>
        <v>4620.5195240130242</v>
      </c>
      <c r="AA6" s="167">
        <f>(Cashflow!$BK$78)*'Indicative Income Tables'!Y6</f>
        <v>1944.177053131388</v>
      </c>
      <c r="AB6" s="168">
        <f t="shared" si="8"/>
        <v>6564.696577144412</v>
      </c>
      <c r="AC6" s="169">
        <f t="shared" si="9"/>
        <v>2.6258786308577649</v>
      </c>
      <c r="AF6" s="166">
        <v>2500</v>
      </c>
      <c r="AG6" s="167">
        <f t="shared" ref="AG6:AG18" si="16">AJ25</f>
        <v>4545.5195240130242</v>
      </c>
      <c r="AH6" s="167">
        <f>(Cashflow!$BK$78-Cashflow!$BK$97)*'Indicative Income Tables'!AF6</f>
        <v>1651.513259261887</v>
      </c>
      <c r="AI6" s="168">
        <f t="shared" si="10"/>
        <v>6197.0327832749117</v>
      </c>
      <c r="AJ6" s="169">
        <f t="shared" si="11"/>
        <v>2.4788131133099647</v>
      </c>
      <c r="AM6" s="166">
        <v>2500</v>
      </c>
      <c r="AN6" s="167">
        <f t="shared" ref="AN6:AN18" si="17">AQ25</f>
        <v>4545.5195240130242</v>
      </c>
      <c r="AO6" s="167">
        <f>(Cashflow!$BK$86)*'Indicative Income Tables'!AM6</f>
        <v>1944.177053131388</v>
      </c>
      <c r="AP6" s="168">
        <f t="shared" si="12"/>
        <v>6489.696577144412</v>
      </c>
      <c r="AQ6" s="169">
        <f t="shared" si="13"/>
        <v>2.5958786308577646</v>
      </c>
    </row>
    <row r="7" spans="2:43" x14ac:dyDescent="0.25">
      <c r="B7" s="166">
        <v>2830</v>
      </c>
      <c r="C7" s="167">
        <f t="shared" si="0"/>
        <v>5021.034494577666</v>
      </c>
      <c r="D7" s="167">
        <f>Cashflow!$BK$70*B7</f>
        <v>2196.7759900162278</v>
      </c>
      <c r="E7" s="168">
        <f t="shared" si="1"/>
        <v>7217.8104845938942</v>
      </c>
      <c r="F7" s="169">
        <f t="shared" si="2"/>
        <v>2.5504630687610934</v>
      </c>
      <c r="K7" s="166">
        <v>2830</v>
      </c>
      <c r="L7" s="167">
        <f t="shared" si="3"/>
        <v>5021.034494577666</v>
      </c>
      <c r="M7" s="167">
        <f>(Cashflow!$BK$70-Cashflow!$BK$93)*'Indicative Income Tables'!K7</f>
        <v>1703.3932582946425</v>
      </c>
      <c r="N7" s="168">
        <f t="shared" si="4"/>
        <v>6724.4277528723087</v>
      </c>
      <c r="O7" s="169">
        <f t="shared" si="5"/>
        <v>2.3761228808736075</v>
      </c>
      <c r="R7" s="166">
        <v>2830</v>
      </c>
      <c r="S7" s="167">
        <f t="shared" si="14"/>
        <v>5122.3933011827439</v>
      </c>
      <c r="T7" s="167">
        <f>(Cashflow!$BK$78-Cashflow!$BK$93)*'Indicative Income Tables'!R7</f>
        <v>1707.4256924231458</v>
      </c>
      <c r="U7" s="168">
        <f t="shared" si="6"/>
        <v>6829.8189936058898</v>
      </c>
      <c r="V7" s="169">
        <f t="shared" si="7"/>
        <v>2.4133636019808797</v>
      </c>
      <c r="Y7" s="166">
        <v>2830</v>
      </c>
      <c r="Z7" s="167">
        <f t="shared" si="15"/>
        <v>5122.3933011827439</v>
      </c>
      <c r="AA7" s="167">
        <f>(Cashflow!$BK$78)*'Indicative Income Tables'!Y7</f>
        <v>2200.8084241447309</v>
      </c>
      <c r="AB7" s="168">
        <f t="shared" si="8"/>
        <v>7323.2017253274753</v>
      </c>
      <c r="AC7" s="169">
        <f t="shared" si="9"/>
        <v>2.5877037898683657</v>
      </c>
      <c r="AF7" s="166">
        <v>2830</v>
      </c>
      <c r="AG7" s="167">
        <f t="shared" si="16"/>
        <v>5037.4933011827434</v>
      </c>
      <c r="AH7" s="167">
        <f>(Cashflow!$BK$78-Cashflow!$BK$97)*'Indicative Income Tables'!AF7</f>
        <v>1869.513009484456</v>
      </c>
      <c r="AI7" s="168">
        <f t="shared" si="10"/>
        <v>6907.0063106671996</v>
      </c>
      <c r="AJ7" s="169">
        <f t="shared" si="11"/>
        <v>2.4406382723205651</v>
      </c>
      <c r="AM7" s="166">
        <v>2830</v>
      </c>
      <c r="AN7" s="167">
        <f t="shared" si="17"/>
        <v>5037.4933011827434</v>
      </c>
      <c r="AO7" s="167">
        <f>(Cashflow!$BK$86)*'Indicative Income Tables'!AM7</f>
        <v>2200.8084241447309</v>
      </c>
      <c r="AP7" s="168">
        <f t="shared" si="12"/>
        <v>7238.3017253274738</v>
      </c>
      <c r="AQ7" s="169">
        <f t="shared" si="13"/>
        <v>2.5577037898683654</v>
      </c>
    </row>
    <row r="8" spans="2:43" x14ac:dyDescent="0.25">
      <c r="B8" s="166">
        <v>3150</v>
      </c>
      <c r="C8" s="167">
        <f t="shared" si="0"/>
        <v>5497.5207271800882</v>
      </c>
      <c r="D8" s="167">
        <f>Cashflow!$BK$70*B8</f>
        <v>2445.1746885339635</v>
      </c>
      <c r="E8" s="168">
        <f t="shared" si="1"/>
        <v>7942.6954157140517</v>
      </c>
      <c r="F8" s="169">
        <f t="shared" si="2"/>
        <v>2.5214906081631909</v>
      </c>
      <c r="K8" s="166">
        <v>3150</v>
      </c>
      <c r="L8" s="167">
        <f t="shared" si="3"/>
        <v>5497.5207271800882</v>
      </c>
      <c r="M8" s="167">
        <f>(Cashflow!$BK$70-Cashflow!$BK$93)*'Indicative Income Tables'!K8</f>
        <v>1896.003096688383</v>
      </c>
      <c r="N8" s="168">
        <f t="shared" si="4"/>
        <v>7393.5238238684715</v>
      </c>
      <c r="O8" s="169">
        <f t="shared" si="5"/>
        <v>2.3471504202757054</v>
      </c>
      <c r="R8" s="166">
        <v>3150</v>
      </c>
      <c r="S8" s="167">
        <f t="shared" si="14"/>
        <v>5610.3406002564107</v>
      </c>
      <c r="T8" s="167">
        <f>(Cashflow!$BK$78-Cashflow!$BK$93)*'Indicative Income Tables'!R8</f>
        <v>1900.491495099968</v>
      </c>
      <c r="U8" s="168">
        <f t="shared" si="6"/>
        <v>7510.8320953563789</v>
      </c>
      <c r="V8" s="169">
        <f t="shared" si="7"/>
        <v>2.3843911413829773</v>
      </c>
      <c r="Y8" s="166">
        <v>3150</v>
      </c>
      <c r="Z8" s="167">
        <f t="shared" si="15"/>
        <v>5610.3406002564107</v>
      </c>
      <c r="AA8" s="167">
        <f>(Cashflow!$BK$78)*'Indicative Income Tables'!Y8</f>
        <v>2449.6630869455489</v>
      </c>
      <c r="AB8" s="168">
        <f t="shared" si="8"/>
        <v>8060.0036872019591</v>
      </c>
      <c r="AC8" s="169">
        <f t="shared" si="9"/>
        <v>2.5587313292704632</v>
      </c>
      <c r="AF8" s="166">
        <v>3150</v>
      </c>
      <c r="AG8" s="167">
        <f t="shared" si="16"/>
        <v>5515.8406002564107</v>
      </c>
      <c r="AH8" s="167">
        <f>(Cashflow!$BK$78-Cashflow!$BK$97)*'Indicative Income Tables'!AF8</f>
        <v>2080.9067066699777</v>
      </c>
      <c r="AI8" s="168">
        <f t="shared" si="10"/>
        <v>7596.7473069263888</v>
      </c>
      <c r="AJ8" s="169">
        <f t="shared" si="11"/>
        <v>2.411665811722663</v>
      </c>
      <c r="AM8" s="166">
        <v>3150</v>
      </c>
      <c r="AN8" s="167">
        <f t="shared" si="17"/>
        <v>5515.8406002564107</v>
      </c>
      <c r="AO8" s="167">
        <f>(Cashflow!$BK$86)*'Indicative Income Tables'!AM8</f>
        <v>2449.6630869455489</v>
      </c>
      <c r="AP8" s="168">
        <f t="shared" si="12"/>
        <v>7965.5036872019591</v>
      </c>
      <c r="AQ8" s="169">
        <f t="shared" si="13"/>
        <v>2.5287313292704634</v>
      </c>
    </row>
    <row r="9" spans="2:43" x14ac:dyDescent="0.25">
      <c r="B9" s="166">
        <v>4000</v>
      </c>
      <c r="C9" s="167">
        <f t="shared" si="0"/>
        <v>6642.3279075302707</v>
      </c>
      <c r="D9" s="167">
        <f>Cashflow!$BK$70*B9</f>
        <v>3104.9837314717001</v>
      </c>
      <c r="E9" s="168">
        <f t="shared" si="1"/>
        <v>9747.3116390019713</v>
      </c>
      <c r="F9" s="169">
        <f t="shared" si="2"/>
        <v>2.4368279097504928</v>
      </c>
      <c r="K9" s="166">
        <v>4000</v>
      </c>
      <c r="L9" s="167">
        <f t="shared" si="3"/>
        <v>6642.3279075302707</v>
      </c>
      <c r="M9" s="167">
        <f>(Cashflow!$BK$70-Cashflow!$BK$93)*'Indicative Income Tables'!K9</f>
        <v>2407.6229799217563</v>
      </c>
      <c r="N9" s="168">
        <f t="shared" si="4"/>
        <v>9049.950887452027</v>
      </c>
      <c r="O9" s="169">
        <f t="shared" si="5"/>
        <v>2.2624877218630068</v>
      </c>
      <c r="R9" s="166">
        <v>4000</v>
      </c>
      <c r="S9" s="167">
        <f t="shared" si="14"/>
        <v>6785.5912384208386</v>
      </c>
      <c r="T9" s="167">
        <f>(Cashflow!$BK$78-Cashflow!$BK$93)*'Indicative Income Tables'!R9</f>
        <v>2413.3225334602766</v>
      </c>
      <c r="U9" s="168">
        <f t="shared" si="6"/>
        <v>9198.9137718811144</v>
      </c>
      <c r="V9" s="169">
        <f t="shared" si="7"/>
        <v>2.2997284429702787</v>
      </c>
      <c r="Y9" s="166">
        <v>4000</v>
      </c>
      <c r="Z9" s="167">
        <f t="shared" si="15"/>
        <v>6785.5912384208386</v>
      </c>
      <c r="AA9" s="167">
        <f>(Cashflow!$BK$78)*'Indicative Income Tables'!Y9</f>
        <v>3110.6832850102205</v>
      </c>
      <c r="AB9" s="168">
        <f t="shared" si="8"/>
        <v>9896.2745234310587</v>
      </c>
      <c r="AC9" s="169">
        <f t="shared" si="9"/>
        <v>2.4740686308577646</v>
      </c>
      <c r="AF9" s="166">
        <v>4000</v>
      </c>
      <c r="AG9" s="167">
        <f t="shared" si="16"/>
        <v>6665.5912384208386</v>
      </c>
      <c r="AH9" s="167">
        <f>(Cashflow!$BK$78-Cashflow!$BK$97)*'Indicative Income Tables'!AF9</f>
        <v>2642.421214819019</v>
      </c>
      <c r="AI9" s="168">
        <f t="shared" si="10"/>
        <v>9308.0124532398586</v>
      </c>
      <c r="AJ9" s="169">
        <f t="shared" si="11"/>
        <v>2.3270031133099645</v>
      </c>
      <c r="AM9" s="166">
        <v>4000</v>
      </c>
      <c r="AN9" s="167">
        <f t="shared" si="17"/>
        <v>6665.5912384208386</v>
      </c>
      <c r="AO9" s="167">
        <f>(Cashflow!$BK$86)*'Indicative Income Tables'!AM9</f>
        <v>3110.6832850102205</v>
      </c>
      <c r="AP9" s="168">
        <f t="shared" si="12"/>
        <v>9776.2745234310587</v>
      </c>
      <c r="AQ9" s="169">
        <f t="shared" si="13"/>
        <v>2.4440686308577648</v>
      </c>
    </row>
    <row r="10" spans="2:43" x14ac:dyDescent="0.25">
      <c r="B10" s="166">
        <v>5000</v>
      </c>
      <c r="C10" s="167">
        <f t="shared" si="0"/>
        <v>7989.1598844128384</v>
      </c>
      <c r="D10" s="167">
        <f>Cashflow!$BK$70*B10</f>
        <v>3881.2296643396248</v>
      </c>
      <c r="E10" s="168">
        <f t="shared" si="1"/>
        <v>11870.389548752464</v>
      </c>
      <c r="F10" s="169">
        <f t="shared" si="2"/>
        <v>2.3740779097504929</v>
      </c>
      <c r="K10" s="166">
        <v>5000</v>
      </c>
      <c r="L10" s="167">
        <f t="shared" si="3"/>
        <v>7989.1598844128384</v>
      </c>
      <c r="M10" s="167">
        <f>(Cashflow!$BK$70-Cashflow!$BK$93)*'Indicative Income Tables'!K10</f>
        <v>3009.5287249021953</v>
      </c>
      <c r="N10" s="168">
        <f t="shared" si="4"/>
        <v>10998.688609315033</v>
      </c>
      <c r="O10" s="169">
        <f t="shared" si="5"/>
        <v>2.1997377218630065</v>
      </c>
      <c r="R10" s="166">
        <v>5000</v>
      </c>
      <c r="S10" s="167">
        <f t="shared" si="14"/>
        <v>8168.2390480260492</v>
      </c>
      <c r="T10" s="167">
        <f>(Cashflow!$BK$78-Cashflow!$BK$93)*'Indicative Income Tables'!R10</f>
        <v>3016.653166825346</v>
      </c>
      <c r="U10" s="168">
        <f t="shared" si="6"/>
        <v>11184.892214851396</v>
      </c>
      <c r="V10" s="169">
        <f t="shared" si="7"/>
        <v>2.2369784429702793</v>
      </c>
      <c r="Y10" s="166">
        <v>5000</v>
      </c>
      <c r="Z10" s="167">
        <f t="shared" si="15"/>
        <v>8168.2390480260492</v>
      </c>
      <c r="AA10" s="167">
        <f>(Cashflow!$BK$78)*'Indicative Income Tables'!Y10</f>
        <v>3888.354106262776</v>
      </c>
      <c r="AB10" s="168">
        <f t="shared" si="8"/>
        <v>12056.593154288825</v>
      </c>
      <c r="AC10" s="169">
        <f t="shared" si="9"/>
        <v>2.4113186308577648</v>
      </c>
      <c r="AF10" s="166">
        <v>5000</v>
      </c>
      <c r="AG10" s="167">
        <f t="shared" si="16"/>
        <v>8018.2390480260492</v>
      </c>
      <c r="AH10" s="167">
        <f>(Cashflow!$BK$78-Cashflow!$BK$97)*'Indicative Income Tables'!AF10</f>
        <v>3303.026518523774</v>
      </c>
      <c r="AI10" s="168">
        <f t="shared" si="10"/>
        <v>11321.265566549824</v>
      </c>
      <c r="AJ10" s="169">
        <f t="shared" si="11"/>
        <v>2.264253113309965</v>
      </c>
      <c r="AM10" s="166">
        <v>5000</v>
      </c>
      <c r="AN10" s="167">
        <f t="shared" si="17"/>
        <v>8018.2390480260492</v>
      </c>
      <c r="AO10" s="167">
        <f>(Cashflow!$BK$86)*'Indicative Income Tables'!AM10</f>
        <v>3888.354106262776</v>
      </c>
      <c r="AP10" s="168">
        <f t="shared" si="12"/>
        <v>11906.593154288825</v>
      </c>
      <c r="AQ10" s="169">
        <f t="shared" si="13"/>
        <v>2.381318630857765</v>
      </c>
    </row>
    <row r="11" spans="2:43" x14ac:dyDescent="0.25">
      <c r="B11" s="166">
        <v>6000</v>
      </c>
      <c r="C11" s="167">
        <f t="shared" si="0"/>
        <v>9335.9918612954061</v>
      </c>
      <c r="D11" s="167">
        <f>Cashflow!$BK$70*B11</f>
        <v>4657.47559720755</v>
      </c>
      <c r="E11" s="168">
        <f t="shared" si="1"/>
        <v>13993.467458502957</v>
      </c>
      <c r="F11" s="169">
        <f t="shared" si="2"/>
        <v>2.3322445764171595</v>
      </c>
      <c r="K11" s="166">
        <v>6000</v>
      </c>
      <c r="L11" s="167">
        <f t="shared" si="3"/>
        <v>9335.9918612954061</v>
      </c>
      <c r="M11" s="167">
        <f>(Cashflow!$BK$70-Cashflow!$BK$93)*'Indicative Income Tables'!K11</f>
        <v>3611.4344698826339</v>
      </c>
      <c r="N11" s="168">
        <f t="shared" si="4"/>
        <v>12947.42633117804</v>
      </c>
      <c r="O11" s="169">
        <f t="shared" si="5"/>
        <v>2.1579043885296731</v>
      </c>
      <c r="R11" s="166">
        <v>6000</v>
      </c>
      <c r="S11" s="167">
        <f t="shared" si="14"/>
        <v>9550.886857631258</v>
      </c>
      <c r="T11" s="167">
        <f>(Cashflow!$BK$78-Cashflow!$BK$93)*'Indicative Income Tables'!R11</f>
        <v>3619.9838001904154</v>
      </c>
      <c r="U11" s="168">
        <f t="shared" si="6"/>
        <v>13170.870657821673</v>
      </c>
      <c r="V11" s="169">
        <f t="shared" si="7"/>
        <v>2.1951451096369454</v>
      </c>
      <c r="Y11" s="166">
        <v>6000</v>
      </c>
      <c r="Z11" s="167">
        <f t="shared" si="15"/>
        <v>9550.886857631258</v>
      </c>
      <c r="AA11" s="167">
        <f>(Cashflow!$BK$78)*'Indicative Income Tables'!Y11</f>
        <v>4666.024927515331</v>
      </c>
      <c r="AB11" s="168">
        <f t="shared" si="8"/>
        <v>14216.911785146589</v>
      </c>
      <c r="AC11" s="169">
        <f t="shared" si="9"/>
        <v>2.3694852975244314</v>
      </c>
      <c r="AF11" s="166">
        <v>6000</v>
      </c>
      <c r="AG11" s="167">
        <f t="shared" si="16"/>
        <v>9370.886857631258</v>
      </c>
      <c r="AH11" s="167">
        <f>(Cashflow!$BK$78-Cashflow!$BK$97)*'Indicative Income Tables'!AF11</f>
        <v>3963.6318222285286</v>
      </c>
      <c r="AI11" s="168">
        <f t="shared" si="10"/>
        <v>13334.518679859786</v>
      </c>
      <c r="AJ11" s="169">
        <f t="shared" si="11"/>
        <v>2.2224197799766312</v>
      </c>
      <c r="AM11" s="166">
        <v>6000</v>
      </c>
      <c r="AN11" s="167">
        <f t="shared" si="17"/>
        <v>9370.886857631258</v>
      </c>
      <c r="AO11" s="167">
        <f>(Cashflow!$BK$86)*'Indicative Income Tables'!AM11</f>
        <v>4666.024927515331</v>
      </c>
      <c r="AP11" s="168">
        <f t="shared" si="12"/>
        <v>14036.911785146589</v>
      </c>
      <c r="AQ11" s="169">
        <f t="shared" si="13"/>
        <v>2.3394852975244316</v>
      </c>
    </row>
    <row r="12" spans="2:43" x14ac:dyDescent="0.25">
      <c r="B12" s="166">
        <v>7000</v>
      </c>
      <c r="C12" s="167">
        <f t="shared" si="0"/>
        <v>10682.823838177974</v>
      </c>
      <c r="D12" s="167">
        <f>Cashflow!$BK$70*B12</f>
        <v>5433.7215300754751</v>
      </c>
      <c r="E12" s="168">
        <f t="shared" si="1"/>
        <v>16116.54536825345</v>
      </c>
      <c r="F12" s="169">
        <f t="shared" si="2"/>
        <v>2.3023636240362073</v>
      </c>
      <c r="K12" s="166">
        <v>7000</v>
      </c>
      <c r="L12" s="167">
        <f t="shared" si="3"/>
        <v>10682.823838177974</v>
      </c>
      <c r="M12" s="167">
        <f>(Cashflow!$BK$70-Cashflow!$BK$93)*'Indicative Income Tables'!K12</f>
        <v>4213.340214863073</v>
      </c>
      <c r="N12" s="168">
        <f t="shared" si="4"/>
        <v>14896.164053041048</v>
      </c>
      <c r="O12" s="169">
        <f t="shared" si="5"/>
        <v>2.1280234361487209</v>
      </c>
      <c r="R12" s="166">
        <v>7000</v>
      </c>
      <c r="S12" s="167">
        <f t="shared" si="14"/>
        <v>10933.534667236469</v>
      </c>
      <c r="T12" s="167">
        <f>(Cashflow!$BK$78-Cashflow!$BK$93)*'Indicative Income Tables'!R12</f>
        <v>4223.3144335554844</v>
      </c>
      <c r="U12" s="168">
        <f t="shared" si="6"/>
        <v>15156.849100791953</v>
      </c>
      <c r="V12" s="169">
        <f t="shared" si="7"/>
        <v>2.1652641572559932</v>
      </c>
      <c r="Y12" s="166">
        <v>7000</v>
      </c>
      <c r="Z12" s="167">
        <f t="shared" si="15"/>
        <v>10933.534667236469</v>
      </c>
      <c r="AA12" s="167">
        <f>(Cashflow!$BK$78)*'Indicative Income Tables'!Y12</f>
        <v>5443.6957487678865</v>
      </c>
      <c r="AB12" s="168">
        <f t="shared" si="8"/>
        <v>16377.230416004355</v>
      </c>
      <c r="AC12" s="169">
        <f t="shared" si="9"/>
        <v>2.3396043451434791</v>
      </c>
      <c r="AF12" s="166">
        <v>7000</v>
      </c>
      <c r="AG12" s="167">
        <f t="shared" si="16"/>
        <v>10723.534667236469</v>
      </c>
      <c r="AH12" s="167">
        <f>(Cashflow!$BK$78-Cashflow!$BK$97)*'Indicative Income Tables'!AF12</f>
        <v>4624.2371259332831</v>
      </c>
      <c r="AI12" s="168">
        <f t="shared" si="10"/>
        <v>15347.771793169752</v>
      </c>
      <c r="AJ12" s="169">
        <f t="shared" si="11"/>
        <v>2.192538827595679</v>
      </c>
      <c r="AM12" s="166">
        <v>7000</v>
      </c>
      <c r="AN12" s="167">
        <f t="shared" si="17"/>
        <v>10723.534667236469</v>
      </c>
      <c r="AO12" s="167">
        <f>(Cashflow!$BK$86)*'Indicative Income Tables'!AM12</f>
        <v>5443.6957487678865</v>
      </c>
      <c r="AP12" s="168">
        <f t="shared" si="12"/>
        <v>16167.230416004355</v>
      </c>
      <c r="AQ12" s="169">
        <f t="shared" si="13"/>
        <v>2.3096043451434793</v>
      </c>
    </row>
    <row r="13" spans="2:43" x14ac:dyDescent="0.25">
      <c r="B13" s="166">
        <v>8000</v>
      </c>
      <c r="C13" s="167">
        <f t="shared" si="0"/>
        <v>12029.655815060541</v>
      </c>
      <c r="D13" s="167">
        <f>Cashflow!$BK$70*B13</f>
        <v>6209.9674629434003</v>
      </c>
      <c r="E13" s="168">
        <f t="shared" si="1"/>
        <v>18239.623278003943</v>
      </c>
      <c r="F13" s="169">
        <f t="shared" si="2"/>
        <v>2.2799529097504929</v>
      </c>
      <c r="K13" s="166">
        <v>8000</v>
      </c>
      <c r="L13" s="167">
        <f t="shared" si="3"/>
        <v>12029.655815060541</v>
      </c>
      <c r="M13" s="167">
        <f>(Cashflow!$BK$70-Cashflow!$BK$93)*'Indicative Income Tables'!K13</f>
        <v>4815.2459598435125</v>
      </c>
      <c r="N13" s="168">
        <f t="shared" si="4"/>
        <v>16844.901774904054</v>
      </c>
      <c r="O13" s="169">
        <f t="shared" si="5"/>
        <v>2.105612721863007</v>
      </c>
      <c r="R13" s="166">
        <v>8000</v>
      </c>
      <c r="S13" s="167">
        <f t="shared" si="14"/>
        <v>12316.182476841677</v>
      </c>
      <c r="T13" s="167">
        <f>(Cashflow!$BK$78-Cashflow!$BK$93)*'Indicative Income Tables'!R13</f>
        <v>4826.6450669205533</v>
      </c>
      <c r="U13" s="168">
        <f t="shared" si="6"/>
        <v>17142.827543762229</v>
      </c>
      <c r="V13" s="169">
        <f t="shared" si="7"/>
        <v>2.1428534429702788</v>
      </c>
      <c r="Y13" s="166">
        <v>8000</v>
      </c>
      <c r="Z13" s="167">
        <f t="shared" si="15"/>
        <v>12316.182476841677</v>
      </c>
      <c r="AA13" s="167">
        <f>(Cashflow!$BK$78)*'Indicative Income Tables'!Y13</f>
        <v>6221.366570020441</v>
      </c>
      <c r="AB13" s="168">
        <f t="shared" si="8"/>
        <v>18537.549046862117</v>
      </c>
      <c r="AC13" s="169">
        <f t="shared" si="9"/>
        <v>2.3171936308577648</v>
      </c>
      <c r="AF13" s="166">
        <v>8000</v>
      </c>
      <c r="AG13" s="167">
        <f t="shared" si="16"/>
        <v>12076.182476841677</v>
      </c>
      <c r="AH13" s="167">
        <f>(Cashflow!$BK$78-Cashflow!$BK$97)*'Indicative Income Tables'!AF13</f>
        <v>5284.8424296380381</v>
      </c>
      <c r="AI13" s="168">
        <f t="shared" si="10"/>
        <v>17361.024906479717</v>
      </c>
      <c r="AJ13" s="169">
        <f t="shared" si="11"/>
        <v>2.1701281133099646</v>
      </c>
      <c r="AM13" s="166">
        <v>8000</v>
      </c>
      <c r="AN13" s="167">
        <f t="shared" si="17"/>
        <v>12076.182476841677</v>
      </c>
      <c r="AO13" s="167">
        <f>(Cashflow!$BK$86)*'Indicative Income Tables'!AM13</f>
        <v>6221.366570020441</v>
      </c>
      <c r="AP13" s="168">
        <f t="shared" si="12"/>
        <v>18297.549046862117</v>
      </c>
      <c r="AQ13" s="169">
        <f t="shared" si="13"/>
        <v>2.2871936308577645</v>
      </c>
    </row>
    <row r="14" spans="2:43" x14ac:dyDescent="0.25">
      <c r="B14" s="166">
        <v>9000</v>
      </c>
      <c r="C14" s="167">
        <f t="shared" si="0"/>
        <v>13376.487791943109</v>
      </c>
      <c r="D14" s="167">
        <f>Cashflow!$BK$70*B14</f>
        <v>6986.2133958113245</v>
      </c>
      <c r="E14" s="168">
        <f t="shared" si="1"/>
        <v>20362.701187754436</v>
      </c>
      <c r="F14" s="169">
        <f t="shared" si="2"/>
        <v>2.2625223541949371</v>
      </c>
      <c r="K14" s="166">
        <v>9000</v>
      </c>
      <c r="L14" s="167">
        <f t="shared" si="3"/>
        <v>13376.487791943109</v>
      </c>
      <c r="M14" s="167">
        <f>(Cashflow!$BK$70-Cashflow!$BK$93)*'Indicative Income Tables'!K14</f>
        <v>5417.1517048239511</v>
      </c>
      <c r="N14" s="168">
        <f t="shared" si="4"/>
        <v>18793.63949676706</v>
      </c>
      <c r="O14" s="169">
        <f t="shared" si="5"/>
        <v>2.0881821663074511</v>
      </c>
      <c r="R14" s="166">
        <v>9000</v>
      </c>
      <c r="S14" s="167">
        <f t="shared" si="14"/>
        <v>13698.830286446888</v>
      </c>
      <c r="T14" s="167">
        <f>(Cashflow!$BK$78-Cashflow!$BK$93)*'Indicative Income Tables'!R14</f>
        <v>5429.9757002856231</v>
      </c>
      <c r="U14" s="168">
        <f t="shared" si="6"/>
        <v>19128.80598673251</v>
      </c>
      <c r="V14" s="169">
        <f t="shared" si="7"/>
        <v>2.1254228874147234</v>
      </c>
      <c r="Y14" s="166">
        <v>9000</v>
      </c>
      <c r="Z14" s="167">
        <f t="shared" si="15"/>
        <v>13698.830286446888</v>
      </c>
      <c r="AA14" s="167">
        <f>(Cashflow!$BK$78)*'Indicative Income Tables'!Y14</f>
        <v>6999.0373912729965</v>
      </c>
      <c r="AB14" s="168">
        <f t="shared" si="8"/>
        <v>20697.867677719885</v>
      </c>
      <c r="AC14" s="169">
        <f t="shared" si="9"/>
        <v>2.2997630753022094</v>
      </c>
      <c r="AF14" s="166">
        <v>9000</v>
      </c>
      <c r="AG14" s="167">
        <f t="shared" si="16"/>
        <v>13428.830286446888</v>
      </c>
      <c r="AH14" s="167">
        <f>(Cashflow!$BK$78-Cashflow!$BK$97)*'Indicative Income Tables'!AF14</f>
        <v>5945.4477333427931</v>
      </c>
      <c r="AI14" s="168">
        <f t="shared" si="10"/>
        <v>19374.278019789679</v>
      </c>
      <c r="AJ14" s="169">
        <f t="shared" si="11"/>
        <v>2.1526975577544087</v>
      </c>
      <c r="AM14" s="166">
        <v>9000</v>
      </c>
      <c r="AN14" s="167">
        <f t="shared" si="17"/>
        <v>13428.830286446888</v>
      </c>
      <c r="AO14" s="167">
        <f>(Cashflow!$BK$86)*'Indicative Income Tables'!AM14</f>
        <v>6999.0373912729965</v>
      </c>
      <c r="AP14" s="168">
        <f t="shared" si="12"/>
        <v>20427.867677719885</v>
      </c>
      <c r="AQ14" s="169">
        <f t="shared" si="13"/>
        <v>2.2697630753022096</v>
      </c>
    </row>
    <row r="15" spans="2:43" x14ac:dyDescent="0.25">
      <c r="B15" s="166">
        <v>10000</v>
      </c>
      <c r="C15" s="167">
        <f t="shared" si="0"/>
        <v>14723.319768825677</v>
      </c>
      <c r="D15" s="167">
        <f>Cashflow!$BK$70*B15</f>
        <v>7762.4593286792497</v>
      </c>
      <c r="E15" s="168">
        <f t="shared" si="1"/>
        <v>22485.779097504928</v>
      </c>
      <c r="F15" s="169">
        <f t="shared" si="2"/>
        <v>2.2485779097504928</v>
      </c>
      <c r="K15" s="166">
        <v>10000</v>
      </c>
      <c r="L15" s="167">
        <f t="shared" si="3"/>
        <v>14723.319768825677</v>
      </c>
      <c r="M15" s="167">
        <f>(Cashflow!$BK$70-Cashflow!$BK$93)*'Indicative Income Tables'!K15</f>
        <v>6019.0574498043907</v>
      </c>
      <c r="N15" s="168">
        <f t="shared" si="4"/>
        <v>20742.377218630067</v>
      </c>
      <c r="O15" s="169">
        <f t="shared" si="5"/>
        <v>2.0742377218630068</v>
      </c>
      <c r="R15" s="166">
        <v>10000</v>
      </c>
      <c r="S15" s="167">
        <f t="shared" si="14"/>
        <v>15081.478096052098</v>
      </c>
      <c r="T15" s="167">
        <f>(Cashflow!$BK$78-Cashflow!$BK$93)*'Indicative Income Tables'!R15</f>
        <v>6033.3063336506921</v>
      </c>
      <c r="U15" s="168">
        <f t="shared" si="6"/>
        <v>21114.784429702791</v>
      </c>
      <c r="V15" s="169">
        <f t="shared" si="7"/>
        <v>2.1114784429702791</v>
      </c>
      <c r="Y15" s="166">
        <v>10000</v>
      </c>
      <c r="Z15" s="167">
        <f t="shared" si="15"/>
        <v>15081.478096052098</v>
      </c>
      <c r="AA15" s="167">
        <f>(Cashflow!$BK$78)*'Indicative Income Tables'!Y15</f>
        <v>7776.708212525552</v>
      </c>
      <c r="AB15" s="168">
        <f t="shared" si="8"/>
        <v>22858.186308577649</v>
      </c>
      <c r="AC15" s="169">
        <f t="shared" si="9"/>
        <v>2.285818630857765</v>
      </c>
      <c r="AF15" s="166">
        <v>10000</v>
      </c>
      <c r="AG15" s="167">
        <f t="shared" si="16"/>
        <v>14781.478096052098</v>
      </c>
      <c r="AH15" s="167">
        <f>(Cashflow!$BK$78-Cashflow!$BK$97)*'Indicative Income Tables'!AF15</f>
        <v>6606.0530370475481</v>
      </c>
      <c r="AI15" s="168">
        <f t="shared" si="10"/>
        <v>21387.531133099648</v>
      </c>
      <c r="AJ15" s="169">
        <f t="shared" si="11"/>
        <v>2.1387531133099649</v>
      </c>
      <c r="AM15" s="166">
        <v>10000</v>
      </c>
      <c r="AN15" s="167">
        <f t="shared" si="17"/>
        <v>14781.478096052098</v>
      </c>
      <c r="AO15" s="167">
        <f>(Cashflow!$BK$86)*'Indicative Income Tables'!AM15</f>
        <v>7776.708212525552</v>
      </c>
      <c r="AP15" s="168">
        <f t="shared" si="12"/>
        <v>22558.186308577649</v>
      </c>
      <c r="AQ15" s="169">
        <f t="shared" si="13"/>
        <v>2.2558186308577648</v>
      </c>
    </row>
    <row r="16" spans="2:43" x14ac:dyDescent="0.25">
      <c r="B16" s="166">
        <v>11000</v>
      </c>
      <c r="C16" s="167">
        <f t="shared" si="0"/>
        <v>16070.151745708245</v>
      </c>
      <c r="D16" s="167">
        <f>Cashflow!$BK$70*B16</f>
        <v>8538.7052615471748</v>
      </c>
      <c r="E16" s="168">
        <f t="shared" si="1"/>
        <v>24608.857007255421</v>
      </c>
      <c r="F16" s="169">
        <f t="shared" si="2"/>
        <v>2.2371688188414018</v>
      </c>
      <c r="K16" s="166">
        <v>11000</v>
      </c>
      <c r="L16" s="167">
        <f t="shared" si="3"/>
        <v>16070.151745708245</v>
      </c>
      <c r="M16" s="167">
        <f>(Cashflow!$BK$70-Cashflow!$BK$93)*'Indicative Income Tables'!K16</f>
        <v>6620.9631947848293</v>
      </c>
      <c r="N16" s="168">
        <f t="shared" si="4"/>
        <v>22691.114940493073</v>
      </c>
      <c r="O16" s="169">
        <f t="shared" si="5"/>
        <v>2.0628286309539159</v>
      </c>
      <c r="R16" s="166">
        <v>11000</v>
      </c>
      <c r="S16" s="167">
        <f t="shared" si="14"/>
        <v>16464.125905657307</v>
      </c>
      <c r="T16" s="167">
        <f>(Cashflow!$BK$78-Cashflow!$BK$93)*'Indicative Income Tables'!R16</f>
        <v>6636.636967015761</v>
      </c>
      <c r="U16" s="168">
        <f t="shared" si="6"/>
        <v>23100.762872673069</v>
      </c>
      <c r="V16" s="169">
        <f t="shared" si="7"/>
        <v>2.1000693520611882</v>
      </c>
      <c r="Y16" s="166">
        <v>11000</v>
      </c>
      <c r="Z16" s="167">
        <f t="shared" si="15"/>
        <v>16464.125905657307</v>
      </c>
      <c r="AA16" s="167">
        <f>(Cashflow!$BK$78)*'Indicative Income Tables'!Y16</f>
        <v>8554.3790337781065</v>
      </c>
      <c r="AB16" s="168">
        <f t="shared" si="8"/>
        <v>25018.504939435414</v>
      </c>
      <c r="AC16" s="169">
        <f t="shared" si="9"/>
        <v>2.2744095399486741</v>
      </c>
      <c r="AF16" s="166">
        <v>11000</v>
      </c>
      <c r="AG16" s="167">
        <f t="shared" si="16"/>
        <v>16134.125905657307</v>
      </c>
      <c r="AH16" s="167">
        <f>(Cashflow!$BK$78-Cashflow!$BK$97)*'Indicative Income Tables'!AF16</f>
        <v>7266.658340752303</v>
      </c>
      <c r="AI16" s="168">
        <f t="shared" si="10"/>
        <v>23400.78424640961</v>
      </c>
      <c r="AJ16" s="169">
        <f t="shared" si="11"/>
        <v>2.1273440224008735</v>
      </c>
      <c r="AM16" s="166">
        <v>11000</v>
      </c>
      <c r="AN16" s="167">
        <f t="shared" si="17"/>
        <v>16134.125905657307</v>
      </c>
      <c r="AO16" s="167">
        <f>(Cashflow!$BK$86)*'Indicative Income Tables'!AM16</f>
        <v>8554.3790337781065</v>
      </c>
      <c r="AP16" s="168">
        <f t="shared" si="12"/>
        <v>24688.504939435414</v>
      </c>
      <c r="AQ16" s="169">
        <f t="shared" si="13"/>
        <v>2.2444095399486739</v>
      </c>
    </row>
    <row r="17" spans="2:44" x14ac:dyDescent="0.25">
      <c r="B17" s="166">
        <v>13000</v>
      </c>
      <c r="C17" s="167">
        <f t="shared" si="0"/>
        <v>18763.81569947338</v>
      </c>
      <c r="D17" s="167">
        <f>Cashflow!$BK$70*B17</f>
        <v>10091.197127283025</v>
      </c>
      <c r="E17" s="168">
        <f t="shared" si="1"/>
        <v>28855.012826756407</v>
      </c>
      <c r="F17" s="169">
        <f t="shared" si="2"/>
        <v>2.2196163712889545</v>
      </c>
      <c r="K17" s="166">
        <v>13000</v>
      </c>
      <c r="L17" s="167">
        <f t="shared" si="3"/>
        <v>18763.81569947338</v>
      </c>
      <c r="M17" s="167">
        <f>(Cashflow!$BK$70-Cashflow!$BK$93)*'Indicative Income Tables'!K17</f>
        <v>7824.7746847457074</v>
      </c>
      <c r="N17" s="168">
        <f t="shared" si="4"/>
        <v>26588.590384219089</v>
      </c>
      <c r="O17" s="169">
        <f t="shared" si="5"/>
        <v>2.0452761834014686</v>
      </c>
      <c r="R17" s="166">
        <v>13000</v>
      </c>
      <c r="S17" s="167">
        <f t="shared" si="14"/>
        <v>19229.421524867728</v>
      </c>
      <c r="T17" s="167">
        <f>(Cashflow!$BK$78-Cashflow!$BK$93)*'Indicative Income Tables'!R17</f>
        <v>7843.2982337458998</v>
      </c>
      <c r="U17" s="168">
        <f t="shared" si="6"/>
        <v>27072.719758613628</v>
      </c>
      <c r="V17" s="169">
        <f t="shared" si="7"/>
        <v>2.0825169045087408</v>
      </c>
      <c r="Y17" s="166">
        <v>13000</v>
      </c>
      <c r="Z17" s="167">
        <f t="shared" si="15"/>
        <v>19229.421524867728</v>
      </c>
      <c r="AA17" s="167">
        <f>(Cashflow!$BK$78)*'Indicative Income Tables'!Y17</f>
        <v>10109.720676283217</v>
      </c>
      <c r="AB17" s="168">
        <f t="shared" si="8"/>
        <v>29339.142201150946</v>
      </c>
      <c r="AC17" s="169">
        <f t="shared" si="9"/>
        <v>2.2568570923962268</v>
      </c>
      <c r="AF17" s="166">
        <v>13000</v>
      </c>
      <c r="AG17" s="167">
        <f t="shared" si="16"/>
        <v>18839.421524867728</v>
      </c>
      <c r="AH17" s="167">
        <f>(Cashflow!$BK$78-Cashflow!$BK$97)*'Indicative Income Tables'!AF17</f>
        <v>8587.868948161813</v>
      </c>
      <c r="AI17" s="168">
        <f t="shared" si="10"/>
        <v>27427.290473029541</v>
      </c>
      <c r="AJ17" s="169">
        <f t="shared" si="11"/>
        <v>2.1097915748484262</v>
      </c>
      <c r="AM17" s="166">
        <v>13000</v>
      </c>
      <c r="AN17" s="167">
        <f t="shared" si="17"/>
        <v>18839.421524867728</v>
      </c>
      <c r="AO17" s="167">
        <f>(Cashflow!$BK$86)*'Indicative Income Tables'!AM17</f>
        <v>10109.720676283217</v>
      </c>
      <c r="AP17" s="168">
        <f t="shared" si="12"/>
        <v>28949.142201150946</v>
      </c>
      <c r="AQ17" s="169">
        <f t="shared" si="13"/>
        <v>2.2268570923962265</v>
      </c>
    </row>
    <row r="18" spans="2:44" ht="15.75" thickBot="1" x14ac:dyDescent="0.3">
      <c r="B18" s="166">
        <v>15000</v>
      </c>
      <c r="C18" s="167">
        <f t="shared" si="0"/>
        <v>21457.479653238515</v>
      </c>
      <c r="D18" s="167">
        <f>Cashflow!$BK$70*B18</f>
        <v>11643.688993018875</v>
      </c>
      <c r="E18" s="170">
        <f t="shared" si="1"/>
        <v>33101.168646257393</v>
      </c>
      <c r="F18" s="171">
        <f t="shared" si="2"/>
        <v>2.2067445764171594</v>
      </c>
      <c r="K18" s="166">
        <v>15000</v>
      </c>
      <c r="L18" s="167">
        <f t="shared" si="3"/>
        <v>21457.479653238515</v>
      </c>
      <c r="M18" s="167">
        <f>(Cashflow!$BK$70-Cashflow!$BK$93)*'Indicative Income Tables'!K18</f>
        <v>9028.5861747065846</v>
      </c>
      <c r="N18" s="170">
        <f t="shared" si="4"/>
        <v>30486.065827945102</v>
      </c>
      <c r="O18" s="171">
        <f t="shared" si="5"/>
        <v>2.0324043885296734</v>
      </c>
      <c r="R18" s="166">
        <v>15000</v>
      </c>
      <c r="S18" s="167">
        <f t="shared" si="14"/>
        <v>21994.717144078146</v>
      </c>
      <c r="T18" s="167">
        <f>(Cashflow!$BK$78-Cashflow!$BK$93)*'Indicative Income Tables'!R18</f>
        <v>9049.9595004760376</v>
      </c>
      <c r="U18" s="170">
        <f t="shared" si="6"/>
        <v>31044.676644554183</v>
      </c>
      <c r="V18" s="171">
        <f t="shared" si="7"/>
        <v>2.0696451096369457</v>
      </c>
      <c r="Y18" s="166">
        <v>15000</v>
      </c>
      <c r="Z18" s="167">
        <f t="shared" si="15"/>
        <v>21994.717144078146</v>
      </c>
      <c r="AA18" s="167">
        <f>(Cashflow!$BK$78)*'Indicative Income Tables'!Y18</f>
        <v>11665.062318788327</v>
      </c>
      <c r="AB18" s="170">
        <f t="shared" si="8"/>
        <v>33659.779462866471</v>
      </c>
      <c r="AC18" s="171">
        <f t="shared" si="9"/>
        <v>2.2439852975244312</v>
      </c>
      <c r="AF18" s="166">
        <v>15000</v>
      </c>
      <c r="AG18" s="167">
        <f t="shared" si="16"/>
        <v>21544.717144078146</v>
      </c>
      <c r="AH18" s="167">
        <f>(Cashflow!$BK$78-Cashflow!$BK$97)*'Indicative Income Tables'!AF18</f>
        <v>9909.0795555713212</v>
      </c>
      <c r="AI18" s="170">
        <f t="shared" si="10"/>
        <v>31453.796699649465</v>
      </c>
      <c r="AJ18" s="171">
        <f t="shared" si="11"/>
        <v>2.096919779976631</v>
      </c>
      <c r="AM18" s="166">
        <v>15000</v>
      </c>
      <c r="AN18" s="167">
        <f t="shared" si="17"/>
        <v>21544.717144078146</v>
      </c>
      <c r="AO18" s="167">
        <f>(Cashflow!$BK$86)*'Indicative Income Tables'!AM18</f>
        <v>11665.062318788327</v>
      </c>
      <c r="AP18" s="170">
        <f t="shared" si="12"/>
        <v>33209.779462866471</v>
      </c>
      <c r="AQ18" s="171">
        <f t="shared" si="13"/>
        <v>2.2139852975244314</v>
      </c>
    </row>
    <row r="20" spans="2:44" x14ac:dyDescent="0.25">
      <c r="I20" s="172"/>
    </row>
    <row r="21" spans="2:44" ht="27" customHeight="1" thickBot="1" x14ac:dyDescent="0.3">
      <c r="B21" s="199" t="s">
        <v>81</v>
      </c>
      <c r="C21" s="199"/>
      <c r="D21" s="199"/>
      <c r="E21" s="199"/>
      <c r="F21" s="199"/>
      <c r="G21" s="199"/>
      <c r="K21" s="199" t="s">
        <v>86</v>
      </c>
      <c r="L21" s="199"/>
      <c r="M21" s="199"/>
      <c r="N21" s="199"/>
      <c r="O21" s="199"/>
      <c r="P21" s="199"/>
      <c r="R21" s="199" t="s">
        <v>126</v>
      </c>
      <c r="S21" s="199"/>
      <c r="T21" s="199"/>
      <c r="U21" s="199"/>
      <c r="V21" s="199"/>
      <c r="W21" s="199"/>
      <c r="Y21" s="199" t="s">
        <v>130</v>
      </c>
      <c r="Z21" s="199"/>
      <c r="AA21" s="199"/>
      <c r="AB21" s="199"/>
      <c r="AC21" s="199"/>
      <c r="AD21" s="199"/>
      <c r="AF21" s="199" t="s">
        <v>133</v>
      </c>
      <c r="AG21" s="199"/>
      <c r="AH21" s="199"/>
      <c r="AI21" s="199"/>
      <c r="AJ21" s="199"/>
      <c r="AK21" s="199"/>
      <c r="AM21" s="199" t="s">
        <v>136</v>
      </c>
      <c r="AN21" s="199"/>
      <c r="AO21" s="199"/>
      <c r="AP21" s="199"/>
      <c r="AQ21" s="199"/>
      <c r="AR21" s="199"/>
    </row>
    <row r="22" spans="2:44" ht="43.5" customHeight="1" thickBot="1" x14ac:dyDescent="0.3">
      <c r="B22" s="164" t="s">
        <v>74</v>
      </c>
      <c r="C22" s="164" t="s">
        <v>7</v>
      </c>
      <c r="D22" s="164" t="s">
        <v>79</v>
      </c>
      <c r="E22" s="164" t="s">
        <v>80</v>
      </c>
      <c r="F22" s="165" t="s">
        <v>75</v>
      </c>
      <c r="G22" s="165" t="s">
        <v>78</v>
      </c>
      <c r="I22" s="173"/>
      <c r="K22" s="164" t="s">
        <v>74</v>
      </c>
      <c r="L22" s="164" t="s">
        <v>7</v>
      </c>
      <c r="M22" s="164" t="s">
        <v>79</v>
      </c>
      <c r="N22" s="164" t="s">
        <v>80</v>
      </c>
      <c r="O22" s="165" t="s">
        <v>75</v>
      </c>
      <c r="P22" s="165" t="s">
        <v>78</v>
      </c>
      <c r="R22" s="164" t="s">
        <v>74</v>
      </c>
      <c r="S22" s="164" t="s">
        <v>7</v>
      </c>
      <c r="T22" s="164" t="s">
        <v>79</v>
      </c>
      <c r="U22" s="164" t="s">
        <v>80</v>
      </c>
      <c r="V22" s="165" t="s">
        <v>75</v>
      </c>
      <c r="W22" s="165" t="s">
        <v>78</v>
      </c>
      <c r="Y22" s="164" t="s">
        <v>74</v>
      </c>
      <c r="Z22" s="164" t="s">
        <v>7</v>
      </c>
      <c r="AA22" s="164" t="s">
        <v>79</v>
      </c>
      <c r="AB22" s="164" t="s">
        <v>80</v>
      </c>
      <c r="AC22" s="165" t="s">
        <v>75</v>
      </c>
      <c r="AD22" s="165" t="s">
        <v>78</v>
      </c>
      <c r="AF22" s="164" t="s">
        <v>74</v>
      </c>
      <c r="AG22" s="164" t="s">
        <v>7</v>
      </c>
      <c r="AH22" s="164" t="s">
        <v>79</v>
      </c>
      <c r="AI22" s="164" t="s">
        <v>80</v>
      </c>
      <c r="AJ22" s="165" t="s">
        <v>75</v>
      </c>
      <c r="AK22" s="165" t="s">
        <v>78</v>
      </c>
      <c r="AM22" s="164" t="s">
        <v>74</v>
      </c>
      <c r="AN22" s="164" t="s">
        <v>7</v>
      </c>
      <c r="AO22" s="164" t="s">
        <v>79</v>
      </c>
      <c r="AP22" s="164" t="s">
        <v>80</v>
      </c>
      <c r="AQ22" s="165" t="s">
        <v>75</v>
      </c>
      <c r="AR22" s="165" t="s">
        <v>78</v>
      </c>
    </row>
    <row r="23" spans="2:44" x14ac:dyDescent="0.25">
      <c r="B23" s="166">
        <v>1000</v>
      </c>
      <c r="C23" s="167">
        <f>B23*Cashflow!$BK$73</f>
        <v>1250</v>
      </c>
      <c r="D23" s="167">
        <f>IF(B23&lt;Cashflow!$BH$117,0,IF(B23&lt;Cashflow!$BH$118,Cashflow!$BK$117,IF(B23&lt;Cashflow!$BH$119,Cashflow!$BK$118,Cashflow!$BK$119)))</f>
        <v>0</v>
      </c>
      <c r="E23" s="167">
        <f>B23*Cashflow!$BK$65</f>
        <v>96.831976882567588</v>
      </c>
      <c r="F23" s="168">
        <f>E23+D23+C23</f>
        <v>1346.8319768825677</v>
      </c>
      <c r="G23" s="174">
        <f>F23/B23</f>
        <v>1.3468319768825676</v>
      </c>
      <c r="I23" s="175"/>
      <c r="K23" s="166">
        <v>1000</v>
      </c>
      <c r="L23" s="167">
        <f>K23*Cashflow!$BK$73</f>
        <v>1250</v>
      </c>
      <c r="M23" s="167">
        <f>IF(K23&lt;Cashflow!$BH$117,0,IF(K23&lt;Cashflow!$BH$118,Cashflow!$BK$117,IF(K23&lt;Cashflow!$BH$119,Cashflow!$BK$118,Cashflow!$BK$119)))</f>
        <v>0</v>
      </c>
      <c r="N23" s="167">
        <f>K23*Cashflow!$BK$65</f>
        <v>96.831976882567588</v>
      </c>
      <c r="O23" s="168">
        <f>N23+M23+L23</f>
        <v>1346.8319768825677</v>
      </c>
      <c r="P23" s="174">
        <f>O23/K23</f>
        <v>1.3468319768825676</v>
      </c>
      <c r="R23" s="166">
        <v>1000</v>
      </c>
      <c r="S23" s="167">
        <f>R23*Cashflow!$BK$81</f>
        <v>1290</v>
      </c>
      <c r="T23" s="167">
        <f>IF(R23&lt;Cashflow!$BH$124,0,IF(R23&lt;Cashflow!$BH$125,Cashflow!$BK$124,IF(R23&lt;Cashflow!$BH$126,Cashflow!$BK$125,Cashflow!$BK$126)))</f>
        <v>0</v>
      </c>
      <c r="U23" s="167">
        <f>R23*Cashflow!$BK$80</f>
        <v>92.647809605209758</v>
      </c>
      <c r="V23" s="168">
        <f>U23+T23+S23</f>
        <v>1382.6478096052097</v>
      </c>
      <c r="W23" s="174">
        <f>V23/R23</f>
        <v>1.3826478096052097</v>
      </c>
      <c r="Y23" s="166">
        <v>1000</v>
      </c>
      <c r="Z23" s="167">
        <f>Y23*Cashflow!$BK$81</f>
        <v>1290</v>
      </c>
      <c r="AA23" s="167">
        <f>IF(Y23&lt;Cashflow!$BH$124,0,IF(Y23&lt;Cashflow!$BH$125,Cashflow!$BK$124,IF(Y23&lt;Cashflow!$BH$126,Cashflow!$BK$125,Cashflow!$BK$126)))</f>
        <v>0</v>
      </c>
      <c r="AB23" s="167">
        <f>Y23*Cashflow!$BK$80</f>
        <v>92.647809605209758</v>
      </c>
      <c r="AC23" s="168">
        <f>AB23+AA23+Z23</f>
        <v>1382.6478096052097</v>
      </c>
      <c r="AD23" s="174">
        <f>AC23/Y23</f>
        <v>1.3826478096052097</v>
      </c>
      <c r="AF23" s="166">
        <v>1000</v>
      </c>
      <c r="AG23" s="167">
        <f>AF23*Cashflow!$BK$82</f>
        <v>1260</v>
      </c>
      <c r="AH23" s="167">
        <f>IF(AF23&lt;Cashflow!$BH$124,0,IF(AF23&lt;Cashflow!$BH$125,Cashflow!$BK$124,IF(AF23&lt;Cashflow!$BH$126,Cashflow!$BK$125,Cashflow!$BK$126)))</f>
        <v>0</v>
      </c>
      <c r="AI23" s="167">
        <f>AF23*Cashflow!$BK$80</f>
        <v>92.647809605209758</v>
      </c>
      <c r="AJ23" s="168">
        <f>AI23+AH23+AG23</f>
        <v>1352.6478096052097</v>
      </c>
      <c r="AK23" s="174">
        <f>AJ23/AF23</f>
        <v>1.3526478096052097</v>
      </c>
      <c r="AM23" s="166">
        <v>1000</v>
      </c>
      <c r="AN23" s="167">
        <f>AM23*Cashflow!$BK$89</f>
        <v>1260</v>
      </c>
      <c r="AO23" s="167">
        <f>IF(AM23&lt;Cashflow!$BH$131,0,IF(AM23&lt;Cashflow!$BH$132,Cashflow!$BK$131,IF(AM23&lt;Cashflow!$BH$133,Cashflow!$BK$132,Cashflow!$BK$133)))</f>
        <v>0</v>
      </c>
      <c r="AP23" s="167">
        <f>AM23*Cashflow!$BK$88</f>
        <v>92.647809605209758</v>
      </c>
      <c r="AQ23" s="168">
        <f>AP23+AO23+AN23</f>
        <v>1352.6478096052097</v>
      </c>
      <c r="AR23" s="174">
        <f>AQ23/AM23</f>
        <v>1.3526478096052097</v>
      </c>
    </row>
    <row r="24" spans="2:44" x14ac:dyDescent="0.25">
      <c r="B24" s="166">
        <v>2000</v>
      </c>
      <c r="C24" s="167">
        <f>B24*Cashflow!$BK$73</f>
        <v>2500</v>
      </c>
      <c r="D24" s="167">
        <f>IF(B24&lt;Cashflow!$BH$117,0,IF(B24&lt;Cashflow!$BH$118,Cashflow!$BK$117,IF(B24&lt;Cashflow!$BH$119,Cashflow!$BK$118,Cashflow!$BK$119)))</f>
        <v>0</v>
      </c>
      <c r="E24" s="167">
        <f>B24*Cashflow!$BK$65</f>
        <v>193.66395376513518</v>
      </c>
      <c r="F24" s="168">
        <f t="shared" ref="F24:F37" si="18">E24+D24+C24</f>
        <v>2693.6639537651354</v>
      </c>
      <c r="G24" s="174">
        <f t="shared" ref="G24:G37" si="19">F24/B24</f>
        <v>1.3468319768825676</v>
      </c>
      <c r="I24" s="175"/>
      <c r="K24" s="166">
        <v>2000</v>
      </c>
      <c r="L24" s="167">
        <f>K24*Cashflow!$BK$73</f>
        <v>2500</v>
      </c>
      <c r="M24" s="167">
        <f>IF(K24&lt;Cashflow!$BH$117,0,IF(K24&lt;Cashflow!$BH$118,Cashflow!$BK$117,IF(K24&lt;Cashflow!$BH$119,Cashflow!$BK$118,Cashflow!$BK$119)))</f>
        <v>0</v>
      </c>
      <c r="N24" s="167">
        <f>K24*Cashflow!$BK$65</f>
        <v>193.66395376513518</v>
      </c>
      <c r="O24" s="168">
        <f t="shared" ref="O24:O37" si="20">N24+M24+L24</f>
        <v>2693.6639537651354</v>
      </c>
      <c r="P24" s="174">
        <f t="shared" ref="P24:P37" si="21">O24/K24</f>
        <v>1.3468319768825676</v>
      </c>
      <c r="R24" s="166">
        <v>2000</v>
      </c>
      <c r="S24" s="167">
        <f>R24*Cashflow!$BK$81</f>
        <v>2580</v>
      </c>
      <c r="T24" s="167">
        <f>IF(R24&lt;Cashflow!$BH$124,0,IF(R24&lt;Cashflow!$BH$125,Cashflow!$BK$124,IF(R24&lt;Cashflow!$BH$126,Cashflow!$BK$125,Cashflow!$BK$126)))</f>
        <v>0</v>
      </c>
      <c r="U24" s="167">
        <f>R24*Cashflow!$BK$80</f>
        <v>185.29561921041952</v>
      </c>
      <c r="V24" s="168">
        <f t="shared" ref="V24:V37" si="22">U24+T24+S24</f>
        <v>2765.2956192104193</v>
      </c>
      <c r="W24" s="174">
        <f t="shared" ref="W24:W37" si="23">V24/R24</f>
        <v>1.3826478096052097</v>
      </c>
      <c r="Y24" s="166">
        <v>2000</v>
      </c>
      <c r="Z24" s="167">
        <f>Y24*Cashflow!$BK$81</f>
        <v>2580</v>
      </c>
      <c r="AA24" s="167">
        <f>IF(Y24&lt;Cashflow!$BH$124,0,IF(Y24&lt;Cashflow!$BH$125,Cashflow!$BK$124,IF(Y24&lt;Cashflow!$BH$126,Cashflow!$BK$125,Cashflow!$BK$126)))</f>
        <v>0</v>
      </c>
      <c r="AB24" s="167">
        <f>Y24*Cashflow!$BK$80</f>
        <v>185.29561921041952</v>
      </c>
      <c r="AC24" s="168">
        <f t="shared" ref="AC24:AC37" si="24">AB24+AA24+Z24</f>
        <v>2765.2956192104193</v>
      </c>
      <c r="AD24" s="174">
        <f t="shared" ref="AD24:AD37" si="25">AC24/Y24</f>
        <v>1.3826478096052097</v>
      </c>
      <c r="AF24" s="166">
        <v>2000</v>
      </c>
      <c r="AG24" s="167">
        <f>AF24*Cashflow!$BK$82</f>
        <v>2520</v>
      </c>
      <c r="AH24" s="167">
        <f>IF(AF24&lt;Cashflow!$BH$124,0,IF(AF24&lt;Cashflow!$BH$125,Cashflow!$BK$124,IF(AF24&lt;Cashflow!$BH$126,Cashflow!$BK$125,Cashflow!$BK$126)))</f>
        <v>0</v>
      </c>
      <c r="AI24" s="167">
        <f>AF24*Cashflow!$BK$80</f>
        <v>185.29561921041952</v>
      </c>
      <c r="AJ24" s="168">
        <f t="shared" ref="AJ24:AJ37" si="26">AI24+AH24+AG24</f>
        <v>2705.2956192104193</v>
      </c>
      <c r="AK24" s="174">
        <f t="shared" ref="AK24:AK37" si="27">AJ24/AF24</f>
        <v>1.3526478096052097</v>
      </c>
      <c r="AM24" s="166">
        <v>2000</v>
      </c>
      <c r="AN24" s="167">
        <f>AM24*Cashflow!$BK$89</f>
        <v>2520</v>
      </c>
      <c r="AO24" s="167">
        <f>IF(AM24&lt;Cashflow!$BH$131,0,IF(AM24&lt;Cashflow!$BH$132,Cashflow!$BK$131,IF(AM24&lt;Cashflow!$BH$133,Cashflow!$BK$132,Cashflow!$BK$133)))</f>
        <v>0</v>
      </c>
      <c r="AP24" s="167">
        <f>AM24*Cashflow!$BK$88</f>
        <v>185.29561921041952</v>
      </c>
      <c r="AQ24" s="168">
        <f t="shared" ref="AQ24:AQ37" si="28">AP24+AO24+AN24</f>
        <v>2705.2956192104193</v>
      </c>
      <c r="AR24" s="174">
        <f t="shared" ref="AR24:AR37" si="29">AQ24/AM24</f>
        <v>1.3526478096052097</v>
      </c>
    </row>
    <row r="25" spans="2:44" x14ac:dyDescent="0.25">
      <c r="B25" s="166">
        <v>2500</v>
      </c>
      <c r="C25" s="167">
        <f>B25*Cashflow!$BK$73</f>
        <v>3125</v>
      </c>
      <c r="D25" s="167">
        <f>IF(B25&lt;Cashflow!$BH$117,0,IF(B25&lt;Cashflow!$BH$118,Cashflow!$BK$117,IF(B25&lt;Cashflow!$BH$119,Cashflow!$BK$118,Cashflow!$BK$119)))</f>
        <v>1163.8999999999999</v>
      </c>
      <c r="E25" s="167">
        <f>B25*Cashflow!$BK$65</f>
        <v>242.07994220641896</v>
      </c>
      <c r="F25" s="168">
        <f t="shared" si="18"/>
        <v>4530.9799422064189</v>
      </c>
      <c r="G25" s="174">
        <f t="shared" si="19"/>
        <v>1.8123919768825676</v>
      </c>
      <c r="I25" s="175"/>
      <c r="K25" s="166">
        <v>2500</v>
      </c>
      <c r="L25" s="167">
        <f>K25*Cashflow!$BK$73</f>
        <v>3125</v>
      </c>
      <c r="M25" s="167">
        <f>IF(K25&lt;Cashflow!$BH$117,0,IF(K25&lt;Cashflow!$BH$118,Cashflow!$BK$117,IF(K25&lt;Cashflow!$BH$119,Cashflow!$BK$118,Cashflow!$BK$119)))</f>
        <v>1163.8999999999999</v>
      </c>
      <c r="N25" s="167">
        <f>K25*Cashflow!$BK$65</f>
        <v>242.07994220641896</v>
      </c>
      <c r="O25" s="168">
        <f t="shared" si="20"/>
        <v>4530.9799422064189</v>
      </c>
      <c r="P25" s="174">
        <f t="shared" si="21"/>
        <v>1.8123919768825676</v>
      </c>
      <c r="R25" s="166">
        <v>2500</v>
      </c>
      <c r="S25" s="167">
        <f>R25*Cashflow!$BK$81</f>
        <v>3225</v>
      </c>
      <c r="T25" s="167">
        <f>IF(R25&lt;Cashflow!$BH$124,0,IF(R25&lt;Cashflow!$BH$125,Cashflow!$BK$124,IF(R25&lt;Cashflow!$BH$126,Cashflow!$BK$125,Cashflow!$BK$126)))</f>
        <v>1163.8999999999999</v>
      </c>
      <c r="U25" s="167">
        <f>R25*Cashflow!$BK$80</f>
        <v>231.61952401302437</v>
      </c>
      <c r="V25" s="168">
        <f t="shared" si="22"/>
        <v>4620.5195240130242</v>
      </c>
      <c r="W25" s="174">
        <f t="shared" si="23"/>
        <v>1.8482078096052097</v>
      </c>
      <c r="Y25" s="166">
        <v>2500</v>
      </c>
      <c r="Z25" s="167">
        <f>Y25*Cashflow!$BK$81</f>
        <v>3225</v>
      </c>
      <c r="AA25" s="167">
        <f>IF(Y25&lt;Cashflow!$BH$124,0,IF(Y25&lt;Cashflow!$BH$125,Cashflow!$BK$124,IF(Y25&lt;Cashflow!$BH$126,Cashflow!$BK$125,Cashflow!$BK$126)))</f>
        <v>1163.8999999999999</v>
      </c>
      <c r="AB25" s="167">
        <f>Y25*Cashflow!$BK$80</f>
        <v>231.61952401302437</v>
      </c>
      <c r="AC25" s="168">
        <f t="shared" si="24"/>
        <v>4620.5195240130242</v>
      </c>
      <c r="AD25" s="174">
        <f t="shared" si="25"/>
        <v>1.8482078096052097</v>
      </c>
      <c r="AF25" s="166">
        <v>2500</v>
      </c>
      <c r="AG25" s="167">
        <f>AF25*Cashflow!$BK$82</f>
        <v>3150</v>
      </c>
      <c r="AH25" s="167">
        <f>IF(AF25&lt;Cashflow!$BH$124,0,IF(AF25&lt;Cashflow!$BH$125,Cashflow!$BK$124,IF(AF25&lt;Cashflow!$BH$126,Cashflow!$BK$125,Cashflow!$BK$126)))</f>
        <v>1163.8999999999999</v>
      </c>
      <c r="AI25" s="167">
        <f>AF25*Cashflow!$BK$80</f>
        <v>231.61952401302437</v>
      </c>
      <c r="AJ25" s="168">
        <f t="shared" si="26"/>
        <v>4545.5195240130242</v>
      </c>
      <c r="AK25" s="174">
        <f t="shared" si="27"/>
        <v>1.8182078096052097</v>
      </c>
      <c r="AM25" s="166">
        <v>2500</v>
      </c>
      <c r="AN25" s="167">
        <f>AM25*Cashflow!$BK$89</f>
        <v>3150</v>
      </c>
      <c r="AO25" s="167">
        <f>IF(AM25&lt;Cashflow!$BH$131,0,IF(AM25&lt;Cashflow!$BH$132,Cashflow!$BK$131,IF(AM25&lt;Cashflow!$BH$133,Cashflow!$BK$132,Cashflow!$BK$133)))</f>
        <v>1163.8999999999999</v>
      </c>
      <c r="AP25" s="167">
        <f>AM25*Cashflow!$BK$88</f>
        <v>231.61952401302437</v>
      </c>
      <c r="AQ25" s="168">
        <f t="shared" si="28"/>
        <v>4545.5195240130242</v>
      </c>
      <c r="AR25" s="174">
        <f t="shared" si="29"/>
        <v>1.8182078096052097</v>
      </c>
    </row>
    <row r="26" spans="2:44" x14ac:dyDescent="0.25">
      <c r="B26" s="166">
        <v>2830</v>
      </c>
      <c r="C26" s="167">
        <f>B26*Cashflow!$BK$73</f>
        <v>3537.5</v>
      </c>
      <c r="D26" s="167">
        <f>IF(B26&lt;Cashflow!$BH$117,0,IF(B26&lt;Cashflow!$BH$118,Cashflow!$BK$117,IF(B26&lt;Cashflow!$BH$119,Cashflow!$BK$118,Cashflow!$BK$119)))</f>
        <v>1209.5</v>
      </c>
      <c r="E26" s="167">
        <f>B26*Cashflow!$BK$65</f>
        <v>274.03449457766629</v>
      </c>
      <c r="F26" s="168">
        <f t="shared" si="18"/>
        <v>5021.034494577666</v>
      </c>
      <c r="G26" s="174">
        <f t="shared" si="19"/>
        <v>1.7742171358931682</v>
      </c>
      <c r="I26" s="175"/>
      <c r="K26" s="166">
        <v>2830</v>
      </c>
      <c r="L26" s="167">
        <f>K26*Cashflow!$BK$73</f>
        <v>3537.5</v>
      </c>
      <c r="M26" s="167">
        <f>IF(K26&lt;Cashflow!$BH$117,0,IF(K26&lt;Cashflow!$BH$118,Cashflow!$BK$117,IF(K26&lt;Cashflow!$BH$119,Cashflow!$BK$118,Cashflow!$BK$119)))</f>
        <v>1209.5</v>
      </c>
      <c r="N26" s="167">
        <f>K26*Cashflow!$BK$65</f>
        <v>274.03449457766629</v>
      </c>
      <c r="O26" s="168">
        <f t="shared" si="20"/>
        <v>5021.034494577666</v>
      </c>
      <c r="P26" s="174">
        <f t="shared" si="21"/>
        <v>1.7742171358931682</v>
      </c>
      <c r="R26" s="166">
        <v>2830</v>
      </c>
      <c r="S26" s="167">
        <f>R26*Cashflow!$BK$81</f>
        <v>3650.7000000000003</v>
      </c>
      <c r="T26" s="167">
        <f>IF(R26&lt;Cashflow!$BH$124,0,IF(R26&lt;Cashflow!$BH$125,Cashflow!$BK$124,IF(R26&lt;Cashflow!$BH$126,Cashflow!$BK$125,Cashflow!$BK$126)))</f>
        <v>1209.5</v>
      </c>
      <c r="U26" s="167">
        <f>R26*Cashflow!$BK$80</f>
        <v>262.1933011827436</v>
      </c>
      <c r="V26" s="168">
        <f t="shared" si="22"/>
        <v>5122.3933011827439</v>
      </c>
      <c r="W26" s="174">
        <f t="shared" si="23"/>
        <v>1.8100329686158105</v>
      </c>
      <c r="Y26" s="166">
        <v>2830</v>
      </c>
      <c r="Z26" s="167">
        <f>Y26*Cashflow!$BK$81</f>
        <v>3650.7000000000003</v>
      </c>
      <c r="AA26" s="167">
        <f>IF(Y26&lt;Cashflow!$BH$124,0,IF(Y26&lt;Cashflow!$BH$125,Cashflow!$BK$124,IF(Y26&lt;Cashflow!$BH$126,Cashflow!$BK$125,Cashflow!$BK$126)))</f>
        <v>1209.5</v>
      </c>
      <c r="AB26" s="167">
        <f>Y26*Cashflow!$BK$80</f>
        <v>262.1933011827436</v>
      </c>
      <c r="AC26" s="168">
        <f t="shared" si="24"/>
        <v>5122.3933011827439</v>
      </c>
      <c r="AD26" s="174">
        <f t="shared" si="25"/>
        <v>1.8100329686158105</v>
      </c>
      <c r="AF26" s="166">
        <v>2830</v>
      </c>
      <c r="AG26" s="167">
        <f>AF26*Cashflow!$BK$82</f>
        <v>3565.8</v>
      </c>
      <c r="AH26" s="167">
        <f>IF(AF26&lt;Cashflow!$BH$124,0,IF(AF26&lt;Cashflow!$BH$125,Cashflow!$BK$124,IF(AF26&lt;Cashflow!$BH$126,Cashflow!$BK$125,Cashflow!$BK$126)))</f>
        <v>1209.5</v>
      </c>
      <c r="AI26" s="167">
        <f>AF26*Cashflow!$BK$80</f>
        <v>262.1933011827436</v>
      </c>
      <c r="AJ26" s="168">
        <f t="shared" si="26"/>
        <v>5037.4933011827434</v>
      </c>
      <c r="AK26" s="174">
        <f t="shared" si="27"/>
        <v>1.7800329686158103</v>
      </c>
      <c r="AM26" s="166">
        <v>2830</v>
      </c>
      <c r="AN26" s="167">
        <f>AM26*Cashflow!$BK$89</f>
        <v>3565.8</v>
      </c>
      <c r="AO26" s="167">
        <f>IF(AM26&lt;Cashflow!$BH$131,0,IF(AM26&lt;Cashflow!$BH$132,Cashflow!$BK$131,IF(AM26&lt;Cashflow!$BH$133,Cashflow!$BK$132,Cashflow!$BK$133)))</f>
        <v>1209.5</v>
      </c>
      <c r="AP26" s="167">
        <f>AM26*Cashflow!$BK$88</f>
        <v>262.1933011827436</v>
      </c>
      <c r="AQ26" s="168">
        <f t="shared" si="28"/>
        <v>5037.4933011827434</v>
      </c>
      <c r="AR26" s="174">
        <f t="shared" si="29"/>
        <v>1.7800329686158103</v>
      </c>
    </row>
    <row r="27" spans="2:44" x14ac:dyDescent="0.25">
      <c r="B27" s="166">
        <v>3150</v>
      </c>
      <c r="C27" s="167">
        <f>B27*Cashflow!$BK$73</f>
        <v>3937.5</v>
      </c>
      <c r="D27" s="167">
        <f>IF(B27&lt;Cashflow!$BH$117,0,IF(B27&lt;Cashflow!$BH$118,Cashflow!$BK$117,IF(B27&lt;Cashflow!$BH$119,Cashflow!$BK$118,Cashflow!$BK$119)))</f>
        <v>1255</v>
      </c>
      <c r="E27" s="167">
        <f>B27*Cashflow!$BK$65</f>
        <v>305.02072718008793</v>
      </c>
      <c r="F27" s="168">
        <f t="shared" si="18"/>
        <v>5497.5207271800882</v>
      </c>
      <c r="G27" s="174">
        <f t="shared" si="19"/>
        <v>1.7452446752952662</v>
      </c>
      <c r="I27" s="175"/>
      <c r="K27" s="166">
        <v>3150</v>
      </c>
      <c r="L27" s="167">
        <f>K27*Cashflow!$BK$73</f>
        <v>3937.5</v>
      </c>
      <c r="M27" s="167">
        <f>IF(K27&lt;Cashflow!$BH$117,0,IF(K27&lt;Cashflow!$BH$118,Cashflow!$BK$117,IF(K27&lt;Cashflow!$BH$119,Cashflow!$BK$118,Cashflow!$BK$119)))</f>
        <v>1255</v>
      </c>
      <c r="N27" s="167">
        <f>K27*Cashflow!$BK$65</f>
        <v>305.02072718008793</v>
      </c>
      <c r="O27" s="168">
        <f t="shared" si="20"/>
        <v>5497.5207271800882</v>
      </c>
      <c r="P27" s="174">
        <f t="shared" si="21"/>
        <v>1.7452446752952662</v>
      </c>
      <c r="R27" s="166">
        <v>3150</v>
      </c>
      <c r="S27" s="167">
        <f>R27*Cashflow!$BK$81</f>
        <v>4063.5</v>
      </c>
      <c r="T27" s="167">
        <f>IF(R27&lt;Cashflow!$BH$124,0,IF(R27&lt;Cashflow!$BH$125,Cashflow!$BK$124,IF(R27&lt;Cashflow!$BH$126,Cashflow!$BK$125,Cashflow!$BK$126)))</f>
        <v>1255</v>
      </c>
      <c r="U27" s="167">
        <f>R27*Cashflow!$BK$80</f>
        <v>291.84060025641071</v>
      </c>
      <c r="V27" s="168">
        <f t="shared" si="22"/>
        <v>5610.3406002564107</v>
      </c>
      <c r="W27" s="174">
        <f t="shared" si="23"/>
        <v>1.7810605080179081</v>
      </c>
      <c r="Y27" s="166">
        <v>3150</v>
      </c>
      <c r="Z27" s="167">
        <f>Y27*Cashflow!$BK$81</f>
        <v>4063.5</v>
      </c>
      <c r="AA27" s="167">
        <f>IF(Y27&lt;Cashflow!$BH$124,0,IF(Y27&lt;Cashflow!$BH$125,Cashflow!$BK$124,IF(Y27&lt;Cashflow!$BH$126,Cashflow!$BK$125,Cashflow!$BK$126)))</f>
        <v>1255</v>
      </c>
      <c r="AB27" s="167">
        <f>Y27*Cashflow!$BK$80</f>
        <v>291.84060025641071</v>
      </c>
      <c r="AC27" s="168">
        <f t="shared" si="24"/>
        <v>5610.3406002564107</v>
      </c>
      <c r="AD27" s="174">
        <f t="shared" si="25"/>
        <v>1.7810605080179081</v>
      </c>
      <c r="AF27" s="166">
        <v>3150</v>
      </c>
      <c r="AG27" s="167">
        <f>AF27*Cashflow!$BK$82</f>
        <v>3969</v>
      </c>
      <c r="AH27" s="167">
        <f>IF(AF27&lt;Cashflow!$BH$124,0,IF(AF27&lt;Cashflow!$BH$125,Cashflow!$BK$124,IF(AF27&lt;Cashflow!$BH$126,Cashflow!$BK$125,Cashflow!$BK$126)))</f>
        <v>1255</v>
      </c>
      <c r="AI27" s="167">
        <f>AF27*Cashflow!$BK$80</f>
        <v>291.84060025641071</v>
      </c>
      <c r="AJ27" s="168">
        <f t="shared" si="26"/>
        <v>5515.8406002564107</v>
      </c>
      <c r="AK27" s="174">
        <f t="shared" si="27"/>
        <v>1.7510605080179082</v>
      </c>
      <c r="AM27" s="166">
        <v>3150</v>
      </c>
      <c r="AN27" s="167">
        <f>AM27*Cashflow!$BK$89</f>
        <v>3969</v>
      </c>
      <c r="AO27" s="167">
        <f>IF(AM27&lt;Cashflow!$BH$131,0,IF(AM27&lt;Cashflow!$BH$132,Cashflow!$BK$131,IF(AM27&lt;Cashflow!$BH$133,Cashflow!$BK$132,Cashflow!$BK$133)))</f>
        <v>1255</v>
      </c>
      <c r="AP27" s="167">
        <f>AM27*Cashflow!$BK$88</f>
        <v>291.84060025641071</v>
      </c>
      <c r="AQ27" s="168">
        <f t="shared" si="28"/>
        <v>5515.8406002564107</v>
      </c>
      <c r="AR27" s="174">
        <f t="shared" si="29"/>
        <v>1.7510605080179082</v>
      </c>
    </row>
    <row r="28" spans="2:44" x14ac:dyDescent="0.25">
      <c r="B28" s="166">
        <v>4000</v>
      </c>
      <c r="C28" s="167">
        <f>B28*Cashflow!$BK$73</f>
        <v>5000</v>
      </c>
      <c r="D28" s="167">
        <f>IF(B28&lt;Cashflow!$BH$117,0,IF(B28&lt;Cashflow!$BH$118,Cashflow!$BK$117,IF(B28&lt;Cashflow!$BH$119,Cashflow!$BK$118,Cashflow!$BK$119)))</f>
        <v>1255</v>
      </c>
      <c r="E28" s="167">
        <f>B28*Cashflow!$BK$65</f>
        <v>387.32790753027035</v>
      </c>
      <c r="F28" s="168">
        <f t="shared" si="18"/>
        <v>6642.3279075302707</v>
      </c>
      <c r="G28" s="174">
        <f t="shared" si="19"/>
        <v>1.6605819768825676</v>
      </c>
      <c r="I28" s="175"/>
      <c r="K28" s="166">
        <v>4000</v>
      </c>
      <c r="L28" s="167">
        <f>K28*Cashflow!$BK$73</f>
        <v>5000</v>
      </c>
      <c r="M28" s="167">
        <f>IF(K28&lt;Cashflow!$BH$117,0,IF(K28&lt;Cashflow!$BH$118,Cashflow!$BK$117,IF(K28&lt;Cashflow!$BH$119,Cashflow!$BK$118,Cashflow!$BK$119)))</f>
        <v>1255</v>
      </c>
      <c r="N28" s="167">
        <f>K28*Cashflow!$BK$65</f>
        <v>387.32790753027035</v>
      </c>
      <c r="O28" s="168">
        <f t="shared" si="20"/>
        <v>6642.3279075302707</v>
      </c>
      <c r="P28" s="174">
        <f t="shared" si="21"/>
        <v>1.6605819768825676</v>
      </c>
      <c r="R28" s="166">
        <v>4000</v>
      </c>
      <c r="S28" s="167">
        <f>R28*Cashflow!$BK$81</f>
        <v>5160</v>
      </c>
      <c r="T28" s="167">
        <f>IF(R28&lt;Cashflow!$BH$124,0,IF(R28&lt;Cashflow!$BH$125,Cashflow!$BK$124,IF(R28&lt;Cashflow!$BH$126,Cashflow!$BK$125,Cashflow!$BK$126)))</f>
        <v>1255</v>
      </c>
      <c r="U28" s="167">
        <f>R28*Cashflow!$BK$80</f>
        <v>370.59123842083903</v>
      </c>
      <c r="V28" s="168">
        <f t="shared" si="22"/>
        <v>6785.5912384208386</v>
      </c>
      <c r="W28" s="174">
        <f t="shared" si="23"/>
        <v>1.6963978096052097</v>
      </c>
      <c r="Y28" s="166">
        <v>4000</v>
      </c>
      <c r="Z28" s="167">
        <f>Y28*Cashflow!$BK$81</f>
        <v>5160</v>
      </c>
      <c r="AA28" s="167">
        <f>IF(Y28&lt;Cashflow!$BH$124,0,IF(Y28&lt;Cashflow!$BH$125,Cashflow!$BK$124,IF(Y28&lt;Cashflow!$BH$126,Cashflow!$BK$125,Cashflow!$BK$126)))</f>
        <v>1255</v>
      </c>
      <c r="AB28" s="167">
        <f>Y28*Cashflow!$BK$80</f>
        <v>370.59123842083903</v>
      </c>
      <c r="AC28" s="168">
        <f t="shared" si="24"/>
        <v>6785.5912384208386</v>
      </c>
      <c r="AD28" s="174">
        <f t="shared" si="25"/>
        <v>1.6963978096052097</v>
      </c>
      <c r="AF28" s="166">
        <v>4000</v>
      </c>
      <c r="AG28" s="167">
        <f>AF28*Cashflow!$BK$82</f>
        <v>5040</v>
      </c>
      <c r="AH28" s="167">
        <f>IF(AF28&lt;Cashflow!$BH$124,0,IF(AF28&lt;Cashflow!$BH$125,Cashflow!$BK$124,IF(AF28&lt;Cashflow!$BH$126,Cashflow!$BK$125,Cashflow!$BK$126)))</f>
        <v>1255</v>
      </c>
      <c r="AI28" s="167">
        <f>AF28*Cashflow!$BK$80</f>
        <v>370.59123842083903</v>
      </c>
      <c r="AJ28" s="168">
        <f t="shared" si="26"/>
        <v>6665.5912384208386</v>
      </c>
      <c r="AK28" s="174">
        <f t="shared" si="27"/>
        <v>1.6663978096052097</v>
      </c>
      <c r="AM28" s="166">
        <v>4000</v>
      </c>
      <c r="AN28" s="167">
        <f>AM28*Cashflow!$BK$89</f>
        <v>5040</v>
      </c>
      <c r="AO28" s="167">
        <f>IF(AM28&lt;Cashflow!$BH$131,0,IF(AM28&lt;Cashflow!$BH$132,Cashflow!$BK$131,IF(AM28&lt;Cashflow!$BH$133,Cashflow!$BK$132,Cashflow!$BK$133)))</f>
        <v>1255</v>
      </c>
      <c r="AP28" s="167">
        <f>AM28*Cashflow!$BK$88</f>
        <v>370.59123842083903</v>
      </c>
      <c r="AQ28" s="168">
        <f t="shared" si="28"/>
        <v>6665.5912384208386</v>
      </c>
      <c r="AR28" s="174">
        <f t="shared" si="29"/>
        <v>1.6663978096052097</v>
      </c>
    </row>
    <row r="29" spans="2:44" x14ac:dyDescent="0.25">
      <c r="B29" s="166">
        <v>5000</v>
      </c>
      <c r="C29" s="167">
        <f>B29*Cashflow!$BK$73</f>
        <v>6250</v>
      </c>
      <c r="D29" s="167">
        <f>IF(B29&lt;Cashflow!$BH$117,0,IF(B29&lt;Cashflow!$BH$118,Cashflow!$BK$117,IF(B29&lt;Cashflow!$BH$119,Cashflow!$BK$118,Cashflow!$BK$119)))</f>
        <v>1255</v>
      </c>
      <c r="E29" s="167">
        <f>B29*Cashflow!$BK$65</f>
        <v>484.15988441283793</v>
      </c>
      <c r="F29" s="168">
        <f t="shared" si="18"/>
        <v>7989.1598844128384</v>
      </c>
      <c r="G29" s="174">
        <f t="shared" si="19"/>
        <v>1.5978319768825677</v>
      </c>
      <c r="I29" s="175"/>
      <c r="K29" s="166">
        <v>5000</v>
      </c>
      <c r="L29" s="167">
        <f>K29*Cashflow!$BK$73</f>
        <v>6250</v>
      </c>
      <c r="M29" s="167">
        <f>IF(K29&lt;Cashflow!$BH$117,0,IF(K29&lt;Cashflow!$BH$118,Cashflow!$BK$117,IF(K29&lt;Cashflow!$BH$119,Cashflow!$BK$118,Cashflow!$BK$119)))</f>
        <v>1255</v>
      </c>
      <c r="N29" s="167">
        <f>K29*Cashflow!$BK$65</f>
        <v>484.15988441283793</v>
      </c>
      <c r="O29" s="168">
        <f t="shared" si="20"/>
        <v>7989.1598844128384</v>
      </c>
      <c r="P29" s="174">
        <f t="shared" si="21"/>
        <v>1.5978319768825677</v>
      </c>
      <c r="R29" s="166">
        <v>5000</v>
      </c>
      <c r="S29" s="167">
        <f>R29*Cashflow!$BK$81</f>
        <v>6450</v>
      </c>
      <c r="T29" s="167">
        <f>IF(R29&lt;Cashflow!$BH$124,0,IF(R29&lt;Cashflow!$BH$125,Cashflow!$BK$124,IF(R29&lt;Cashflow!$BH$126,Cashflow!$BK$125,Cashflow!$BK$126)))</f>
        <v>1255</v>
      </c>
      <c r="U29" s="167">
        <f>R29*Cashflow!$BK$80</f>
        <v>463.23904802604875</v>
      </c>
      <c r="V29" s="168">
        <f t="shared" si="22"/>
        <v>8168.2390480260492</v>
      </c>
      <c r="W29" s="174">
        <f t="shared" si="23"/>
        <v>1.6336478096052098</v>
      </c>
      <c r="Y29" s="166">
        <v>5000</v>
      </c>
      <c r="Z29" s="167">
        <f>Y29*Cashflow!$BK$81</f>
        <v>6450</v>
      </c>
      <c r="AA29" s="167">
        <f>IF(Y29&lt;Cashflow!$BH$124,0,IF(Y29&lt;Cashflow!$BH$125,Cashflow!$BK$124,IF(Y29&lt;Cashflow!$BH$126,Cashflow!$BK$125,Cashflow!$BK$126)))</f>
        <v>1255</v>
      </c>
      <c r="AB29" s="167">
        <f>Y29*Cashflow!$BK$80</f>
        <v>463.23904802604875</v>
      </c>
      <c r="AC29" s="168">
        <f t="shared" si="24"/>
        <v>8168.2390480260492</v>
      </c>
      <c r="AD29" s="174">
        <f t="shared" si="25"/>
        <v>1.6336478096052098</v>
      </c>
      <c r="AF29" s="166">
        <v>5000</v>
      </c>
      <c r="AG29" s="167">
        <f>AF29*Cashflow!$BK$82</f>
        <v>6300</v>
      </c>
      <c r="AH29" s="167">
        <f>IF(AF29&lt;Cashflow!$BH$124,0,IF(AF29&lt;Cashflow!$BH$125,Cashflow!$BK$124,IF(AF29&lt;Cashflow!$BH$126,Cashflow!$BK$125,Cashflow!$BK$126)))</f>
        <v>1255</v>
      </c>
      <c r="AI29" s="167">
        <f>AF29*Cashflow!$BK$80</f>
        <v>463.23904802604875</v>
      </c>
      <c r="AJ29" s="168">
        <f t="shared" si="26"/>
        <v>8018.2390480260492</v>
      </c>
      <c r="AK29" s="174">
        <f t="shared" si="27"/>
        <v>1.6036478096052098</v>
      </c>
      <c r="AM29" s="166">
        <v>5000</v>
      </c>
      <c r="AN29" s="167">
        <f>AM29*Cashflow!$BK$89</f>
        <v>6300</v>
      </c>
      <c r="AO29" s="167">
        <f>IF(AM29&lt;Cashflow!$BH$131,0,IF(AM29&lt;Cashflow!$BH$132,Cashflow!$BK$131,IF(AM29&lt;Cashflow!$BH$133,Cashflow!$BK$132,Cashflow!$BK$133)))</f>
        <v>1255</v>
      </c>
      <c r="AP29" s="167">
        <f>AM29*Cashflow!$BK$88</f>
        <v>463.23904802604875</v>
      </c>
      <c r="AQ29" s="168">
        <f t="shared" si="28"/>
        <v>8018.2390480260492</v>
      </c>
      <c r="AR29" s="174">
        <f t="shared" si="29"/>
        <v>1.6036478096052098</v>
      </c>
    </row>
    <row r="30" spans="2:44" x14ac:dyDescent="0.25">
      <c r="B30" s="166">
        <v>6000</v>
      </c>
      <c r="C30" s="167">
        <f>B30*Cashflow!$BK$73</f>
        <v>7500</v>
      </c>
      <c r="D30" s="167">
        <f>IF(B30&lt;Cashflow!$BH$117,0,IF(B30&lt;Cashflow!$BH$118,Cashflow!$BK$117,IF(B30&lt;Cashflow!$BH$119,Cashflow!$BK$118,Cashflow!$BK$119)))</f>
        <v>1255</v>
      </c>
      <c r="E30" s="167">
        <f>B30*Cashflow!$BK$65</f>
        <v>580.99186129540556</v>
      </c>
      <c r="F30" s="168">
        <f t="shared" si="18"/>
        <v>9335.9918612954061</v>
      </c>
      <c r="G30" s="174">
        <f t="shared" si="19"/>
        <v>1.5559986435492343</v>
      </c>
      <c r="I30" s="175"/>
      <c r="K30" s="166">
        <v>6000</v>
      </c>
      <c r="L30" s="167">
        <f>K30*Cashflow!$BK$73</f>
        <v>7500</v>
      </c>
      <c r="M30" s="167">
        <f>IF(K30&lt;Cashflow!$BH$117,0,IF(K30&lt;Cashflow!$BH$118,Cashflow!$BK$117,IF(K30&lt;Cashflow!$BH$119,Cashflow!$BK$118,Cashflow!$BK$119)))</f>
        <v>1255</v>
      </c>
      <c r="N30" s="167">
        <f>K30*Cashflow!$BK$65</f>
        <v>580.99186129540556</v>
      </c>
      <c r="O30" s="168">
        <f t="shared" si="20"/>
        <v>9335.9918612954061</v>
      </c>
      <c r="P30" s="174">
        <f t="shared" si="21"/>
        <v>1.5559986435492343</v>
      </c>
      <c r="R30" s="166">
        <v>6000</v>
      </c>
      <c r="S30" s="167">
        <f>R30*Cashflow!$BK$81</f>
        <v>7740</v>
      </c>
      <c r="T30" s="167">
        <f>IF(R30&lt;Cashflow!$BH$124,0,IF(R30&lt;Cashflow!$BH$125,Cashflow!$BK$124,IF(R30&lt;Cashflow!$BH$126,Cashflow!$BK$125,Cashflow!$BK$126)))</f>
        <v>1255</v>
      </c>
      <c r="U30" s="167">
        <f>R30*Cashflow!$BK$80</f>
        <v>555.88685763125852</v>
      </c>
      <c r="V30" s="168">
        <f t="shared" si="22"/>
        <v>9550.886857631258</v>
      </c>
      <c r="W30" s="174">
        <f t="shared" si="23"/>
        <v>1.5918144762718762</v>
      </c>
      <c r="Y30" s="166">
        <v>6000</v>
      </c>
      <c r="Z30" s="167">
        <f>Y30*Cashflow!$BK$81</f>
        <v>7740</v>
      </c>
      <c r="AA30" s="167">
        <f>IF(Y30&lt;Cashflow!$BH$124,0,IF(Y30&lt;Cashflow!$BH$125,Cashflow!$BK$124,IF(Y30&lt;Cashflow!$BH$126,Cashflow!$BK$125,Cashflow!$BK$126)))</f>
        <v>1255</v>
      </c>
      <c r="AB30" s="167">
        <f>Y30*Cashflow!$BK$80</f>
        <v>555.88685763125852</v>
      </c>
      <c r="AC30" s="168">
        <f t="shared" si="24"/>
        <v>9550.886857631258</v>
      </c>
      <c r="AD30" s="174">
        <f t="shared" si="25"/>
        <v>1.5918144762718762</v>
      </c>
      <c r="AF30" s="166">
        <v>6000</v>
      </c>
      <c r="AG30" s="167">
        <f>AF30*Cashflow!$BK$82</f>
        <v>7560</v>
      </c>
      <c r="AH30" s="167">
        <f>IF(AF30&lt;Cashflow!$BH$124,0,IF(AF30&lt;Cashflow!$BH$125,Cashflow!$BK$124,IF(AF30&lt;Cashflow!$BH$126,Cashflow!$BK$125,Cashflow!$BK$126)))</f>
        <v>1255</v>
      </c>
      <c r="AI30" s="167">
        <f>AF30*Cashflow!$BK$80</f>
        <v>555.88685763125852</v>
      </c>
      <c r="AJ30" s="168">
        <f t="shared" si="26"/>
        <v>9370.886857631258</v>
      </c>
      <c r="AK30" s="174">
        <f t="shared" si="27"/>
        <v>1.5618144762718764</v>
      </c>
      <c r="AM30" s="166">
        <v>6000</v>
      </c>
      <c r="AN30" s="167">
        <f>AM30*Cashflow!$BK$89</f>
        <v>7560</v>
      </c>
      <c r="AO30" s="167">
        <f>IF(AM30&lt;Cashflow!$BH$131,0,IF(AM30&lt;Cashflow!$BH$132,Cashflow!$BK$131,IF(AM30&lt;Cashflow!$BH$133,Cashflow!$BK$132,Cashflow!$BK$133)))</f>
        <v>1255</v>
      </c>
      <c r="AP30" s="167">
        <f>AM30*Cashflow!$BK$88</f>
        <v>555.88685763125852</v>
      </c>
      <c r="AQ30" s="168">
        <f t="shared" si="28"/>
        <v>9370.886857631258</v>
      </c>
      <c r="AR30" s="174">
        <f t="shared" si="29"/>
        <v>1.5618144762718764</v>
      </c>
    </row>
    <row r="31" spans="2:44" x14ac:dyDescent="0.25">
      <c r="B31" s="166">
        <v>7000</v>
      </c>
      <c r="C31" s="167">
        <f>B31*Cashflow!$BK$73</f>
        <v>8750</v>
      </c>
      <c r="D31" s="167">
        <f>IF(B31&lt;Cashflow!$BH$117,0,IF(B31&lt;Cashflow!$BH$118,Cashflow!$BK$117,IF(B31&lt;Cashflow!$BH$119,Cashflow!$BK$118,Cashflow!$BK$119)))</f>
        <v>1255</v>
      </c>
      <c r="E31" s="167">
        <f>B31*Cashflow!$BK$65</f>
        <v>677.82383817797313</v>
      </c>
      <c r="F31" s="168">
        <f t="shared" si="18"/>
        <v>10682.823838177974</v>
      </c>
      <c r="G31" s="174">
        <f t="shared" si="19"/>
        <v>1.5261176911682819</v>
      </c>
      <c r="I31" s="175"/>
      <c r="K31" s="166">
        <v>7000</v>
      </c>
      <c r="L31" s="167">
        <f>K31*Cashflow!$BK$73</f>
        <v>8750</v>
      </c>
      <c r="M31" s="167">
        <f>IF(K31&lt;Cashflow!$BH$117,0,IF(K31&lt;Cashflow!$BH$118,Cashflow!$BK$117,IF(K31&lt;Cashflow!$BH$119,Cashflow!$BK$118,Cashflow!$BK$119)))</f>
        <v>1255</v>
      </c>
      <c r="N31" s="167">
        <f>K31*Cashflow!$BK$65</f>
        <v>677.82383817797313</v>
      </c>
      <c r="O31" s="168">
        <f t="shared" si="20"/>
        <v>10682.823838177974</v>
      </c>
      <c r="P31" s="174">
        <f t="shared" si="21"/>
        <v>1.5261176911682819</v>
      </c>
      <c r="R31" s="166">
        <v>7000</v>
      </c>
      <c r="S31" s="167">
        <f>R31*Cashflow!$BK$81</f>
        <v>9030</v>
      </c>
      <c r="T31" s="167">
        <f>IF(R31&lt;Cashflow!$BH$124,0,IF(R31&lt;Cashflow!$BH$125,Cashflow!$BK$124,IF(R31&lt;Cashflow!$BH$126,Cashflow!$BK$125,Cashflow!$BK$126)))</f>
        <v>1255</v>
      </c>
      <c r="U31" s="167">
        <f>R31*Cashflow!$BK$80</f>
        <v>648.53466723646829</v>
      </c>
      <c r="V31" s="168">
        <f t="shared" si="22"/>
        <v>10933.534667236469</v>
      </c>
      <c r="W31" s="174">
        <f t="shared" si="23"/>
        <v>1.561933523890924</v>
      </c>
      <c r="Y31" s="166">
        <v>7000</v>
      </c>
      <c r="Z31" s="167">
        <f>Y31*Cashflow!$BK$81</f>
        <v>9030</v>
      </c>
      <c r="AA31" s="167">
        <f>IF(Y31&lt;Cashflow!$BH$124,0,IF(Y31&lt;Cashflow!$BH$125,Cashflow!$BK$124,IF(Y31&lt;Cashflow!$BH$126,Cashflow!$BK$125,Cashflow!$BK$126)))</f>
        <v>1255</v>
      </c>
      <c r="AB31" s="167">
        <f>Y31*Cashflow!$BK$80</f>
        <v>648.53466723646829</v>
      </c>
      <c r="AC31" s="168">
        <f t="shared" si="24"/>
        <v>10933.534667236469</v>
      </c>
      <c r="AD31" s="174">
        <f t="shared" si="25"/>
        <v>1.561933523890924</v>
      </c>
      <c r="AF31" s="166">
        <v>7000</v>
      </c>
      <c r="AG31" s="167">
        <f>AF31*Cashflow!$BK$82</f>
        <v>8820</v>
      </c>
      <c r="AH31" s="167">
        <f>IF(AF31&lt;Cashflow!$BH$124,0,IF(AF31&lt;Cashflow!$BH$125,Cashflow!$BK$124,IF(AF31&lt;Cashflow!$BH$126,Cashflow!$BK$125,Cashflow!$BK$126)))</f>
        <v>1255</v>
      </c>
      <c r="AI31" s="167">
        <f>AF31*Cashflow!$BK$80</f>
        <v>648.53466723646829</v>
      </c>
      <c r="AJ31" s="168">
        <f t="shared" si="26"/>
        <v>10723.534667236469</v>
      </c>
      <c r="AK31" s="174">
        <f t="shared" si="27"/>
        <v>1.531933523890924</v>
      </c>
      <c r="AM31" s="166">
        <v>7000</v>
      </c>
      <c r="AN31" s="167">
        <f>AM31*Cashflow!$BK$89</f>
        <v>8820</v>
      </c>
      <c r="AO31" s="167">
        <f>IF(AM31&lt;Cashflow!$BH$131,0,IF(AM31&lt;Cashflow!$BH$132,Cashflow!$BK$131,IF(AM31&lt;Cashflow!$BH$133,Cashflow!$BK$132,Cashflow!$BK$133)))</f>
        <v>1255</v>
      </c>
      <c r="AP31" s="167">
        <f>AM31*Cashflow!$BK$88</f>
        <v>648.53466723646829</v>
      </c>
      <c r="AQ31" s="168">
        <f t="shared" si="28"/>
        <v>10723.534667236469</v>
      </c>
      <c r="AR31" s="174">
        <f t="shared" si="29"/>
        <v>1.531933523890924</v>
      </c>
    </row>
    <row r="32" spans="2:44" x14ac:dyDescent="0.25">
      <c r="B32" s="166">
        <v>8000</v>
      </c>
      <c r="C32" s="167">
        <f>B32*Cashflow!$BK$73</f>
        <v>10000</v>
      </c>
      <c r="D32" s="167">
        <f>IF(B32&lt;Cashflow!$BH$117,0,IF(B32&lt;Cashflow!$BH$118,Cashflow!$BK$117,IF(B32&lt;Cashflow!$BH$119,Cashflow!$BK$118,Cashflow!$BK$119)))</f>
        <v>1255</v>
      </c>
      <c r="E32" s="167">
        <f>B32*Cashflow!$BK$65</f>
        <v>774.6558150605407</v>
      </c>
      <c r="F32" s="168">
        <f t="shared" si="18"/>
        <v>12029.655815060541</v>
      </c>
      <c r="G32" s="174">
        <f t="shared" si="19"/>
        <v>1.5037069768825677</v>
      </c>
      <c r="I32" s="175"/>
      <c r="K32" s="166">
        <v>8000</v>
      </c>
      <c r="L32" s="167">
        <f>K32*Cashflow!$BK$73</f>
        <v>10000</v>
      </c>
      <c r="M32" s="167">
        <f>IF(K32&lt;Cashflow!$BH$117,0,IF(K32&lt;Cashflow!$BH$118,Cashflow!$BK$117,IF(K32&lt;Cashflow!$BH$119,Cashflow!$BK$118,Cashflow!$BK$119)))</f>
        <v>1255</v>
      </c>
      <c r="N32" s="167">
        <f>K32*Cashflow!$BK$65</f>
        <v>774.6558150605407</v>
      </c>
      <c r="O32" s="168">
        <f t="shared" si="20"/>
        <v>12029.655815060541</v>
      </c>
      <c r="P32" s="174">
        <f t="shared" si="21"/>
        <v>1.5037069768825677</v>
      </c>
      <c r="R32" s="166">
        <v>8000</v>
      </c>
      <c r="S32" s="167">
        <f>R32*Cashflow!$BK$81</f>
        <v>10320</v>
      </c>
      <c r="T32" s="167">
        <f>IF(R32&lt;Cashflow!$BH$124,0,IF(R32&lt;Cashflow!$BH$125,Cashflow!$BK$124,IF(R32&lt;Cashflow!$BH$126,Cashflow!$BK$125,Cashflow!$BK$126)))</f>
        <v>1255</v>
      </c>
      <c r="U32" s="167">
        <f>R32*Cashflow!$BK$80</f>
        <v>741.18247684167807</v>
      </c>
      <c r="V32" s="168">
        <f t="shared" si="22"/>
        <v>12316.182476841677</v>
      </c>
      <c r="W32" s="174">
        <f t="shared" si="23"/>
        <v>1.5395228096052096</v>
      </c>
      <c r="Y32" s="166">
        <v>8000</v>
      </c>
      <c r="Z32" s="167">
        <f>Y32*Cashflow!$BK$81</f>
        <v>10320</v>
      </c>
      <c r="AA32" s="167">
        <f>IF(Y32&lt;Cashflow!$BH$124,0,IF(Y32&lt;Cashflow!$BH$125,Cashflow!$BK$124,IF(Y32&lt;Cashflow!$BH$126,Cashflow!$BK$125,Cashflow!$BK$126)))</f>
        <v>1255</v>
      </c>
      <c r="AB32" s="167">
        <f>Y32*Cashflow!$BK$80</f>
        <v>741.18247684167807</v>
      </c>
      <c r="AC32" s="168">
        <f t="shared" si="24"/>
        <v>12316.182476841677</v>
      </c>
      <c r="AD32" s="174">
        <f t="shared" si="25"/>
        <v>1.5395228096052096</v>
      </c>
      <c r="AF32" s="166">
        <v>8000</v>
      </c>
      <c r="AG32" s="167">
        <f>AF32*Cashflow!$BK$82</f>
        <v>10080</v>
      </c>
      <c r="AH32" s="167">
        <f>IF(AF32&lt;Cashflow!$BH$124,0,IF(AF32&lt;Cashflow!$BH$125,Cashflow!$BK$124,IF(AF32&lt;Cashflow!$BH$126,Cashflow!$BK$125,Cashflow!$BK$126)))</f>
        <v>1255</v>
      </c>
      <c r="AI32" s="167">
        <f>AF32*Cashflow!$BK$80</f>
        <v>741.18247684167807</v>
      </c>
      <c r="AJ32" s="168">
        <f t="shared" si="26"/>
        <v>12076.182476841677</v>
      </c>
      <c r="AK32" s="174">
        <f t="shared" si="27"/>
        <v>1.5095228096052096</v>
      </c>
      <c r="AM32" s="166">
        <v>8000</v>
      </c>
      <c r="AN32" s="167">
        <f>AM32*Cashflow!$BK$89</f>
        <v>10080</v>
      </c>
      <c r="AO32" s="167">
        <f>IF(AM32&lt;Cashflow!$BH$131,0,IF(AM32&lt;Cashflow!$BH$132,Cashflow!$BK$131,IF(AM32&lt;Cashflow!$BH$133,Cashflow!$BK$132,Cashflow!$BK$133)))</f>
        <v>1255</v>
      </c>
      <c r="AP32" s="167">
        <f>AM32*Cashflow!$BK$88</f>
        <v>741.18247684167807</v>
      </c>
      <c r="AQ32" s="168">
        <f t="shared" si="28"/>
        <v>12076.182476841677</v>
      </c>
      <c r="AR32" s="174">
        <f t="shared" si="29"/>
        <v>1.5095228096052096</v>
      </c>
    </row>
    <row r="33" spans="2:44" x14ac:dyDescent="0.25">
      <c r="B33" s="166">
        <v>9000</v>
      </c>
      <c r="C33" s="167">
        <f>B33*Cashflow!$BK$73</f>
        <v>11250</v>
      </c>
      <c r="D33" s="167">
        <f>IF(B33&lt;Cashflow!$BH$117,0,IF(B33&lt;Cashflow!$BH$118,Cashflow!$BK$117,IF(B33&lt;Cashflow!$BH$119,Cashflow!$BK$118,Cashflow!$BK$119)))</f>
        <v>1255</v>
      </c>
      <c r="E33" s="167">
        <f>B33*Cashflow!$BK$65</f>
        <v>871.48779194310828</v>
      </c>
      <c r="F33" s="168">
        <f t="shared" si="18"/>
        <v>13376.487791943109</v>
      </c>
      <c r="G33" s="174">
        <f t="shared" si="19"/>
        <v>1.4862764213270121</v>
      </c>
      <c r="I33" s="175"/>
      <c r="K33" s="166">
        <v>9000</v>
      </c>
      <c r="L33" s="167">
        <f>K33*Cashflow!$BK$73</f>
        <v>11250</v>
      </c>
      <c r="M33" s="167">
        <f>IF(K33&lt;Cashflow!$BH$117,0,IF(K33&lt;Cashflow!$BH$118,Cashflow!$BK$117,IF(K33&lt;Cashflow!$BH$119,Cashflow!$BK$118,Cashflow!$BK$119)))</f>
        <v>1255</v>
      </c>
      <c r="N33" s="167">
        <f>K33*Cashflow!$BK$65</f>
        <v>871.48779194310828</v>
      </c>
      <c r="O33" s="168">
        <f t="shared" si="20"/>
        <v>13376.487791943109</v>
      </c>
      <c r="P33" s="174">
        <f t="shared" si="21"/>
        <v>1.4862764213270121</v>
      </c>
      <c r="R33" s="166">
        <v>9000</v>
      </c>
      <c r="S33" s="167">
        <f>R33*Cashflow!$BK$81</f>
        <v>11610</v>
      </c>
      <c r="T33" s="167">
        <f>IF(R33&lt;Cashflow!$BH$124,0,IF(R33&lt;Cashflow!$BH$125,Cashflow!$BK$124,IF(R33&lt;Cashflow!$BH$126,Cashflow!$BK$125,Cashflow!$BK$126)))</f>
        <v>1255</v>
      </c>
      <c r="U33" s="167">
        <f>R33*Cashflow!$BK$80</f>
        <v>833.83028644688784</v>
      </c>
      <c r="V33" s="168">
        <f t="shared" si="22"/>
        <v>13698.830286446888</v>
      </c>
      <c r="W33" s="174">
        <f t="shared" si="23"/>
        <v>1.5220922540496542</v>
      </c>
      <c r="Y33" s="166">
        <v>9000</v>
      </c>
      <c r="Z33" s="167">
        <f>Y33*Cashflow!$BK$81</f>
        <v>11610</v>
      </c>
      <c r="AA33" s="167">
        <f>IF(Y33&lt;Cashflow!$BH$124,0,IF(Y33&lt;Cashflow!$BH$125,Cashflow!$BK$124,IF(Y33&lt;Cashflow!$BH$126,Cashflow!$BK$125,Cashflow!$BK$126)))</f>
        <v>1255</v>
      </c>
      <c r="AB33" s="167">
        <f>Y33*Cashflow!$BK$80</f>
        <v>833.83028644688784</v>
      </c>
      <c r="AC33" s="168">
        <f t="shared" si="24"/>
        <v>13698.830286446888</v>
      </c>
      <c r="AD33" s="174">
        <f t="shared" si="25"/>
        <v>1.5220922540496542</v>
      </c>
      <c r="AF33" s="166">
        <v>9000</v>
      </c>
      <c r="AG33" s="167">
        <f>AF33*Cashflow!$BK$82</f>
        <v>11340</v>
      </c>
      <c r="AH33" s="167">
        <f>IF(AF33&lt;Cashflow!$BH$124,0,IF(AF33&lt;Cashflow!$BH$125,Cashflow!$BK$124,IF(AF33&lt;Cashflow!$BH$126,Cashflow!$BK$125,Cashflow!$BK$126)))</f>
        <v>1255</v>
      </c>
      <c r="AI33" s="167">
        <f>AF33*Cashflow!$BK$80</f>
        <v>833.83028644688784</v>
      </c>
      <c r="AJ33" s="168">
        <f t="shared" si="26"/>
        <v>13428.830286446888</v>
      </c>
      <c r="AK33" s="174">
        <f t="shared" si="27"/>
        <v>1.4920922540496542</v>
      </c>
      <c r="AM33" s="166">
        <v>9000</v>
      </c>
      <c r="AN33" s="167">
        <f>AM33*Cashflow!$BK$89</f>
        <v>11340</v>
      </c>
      <c r="AO33" s="167">
        <f>IF(AM33&lt;Cashflow!$BH$131,0,IF(AM33&lt;Cashflow!$BH$132,Cashflow!$BK$131,IF(AM33&lt;Cashflow!$BH$133,Cashflow!$BK$132,Cashflow!$BK$133)))</f>
        <v>1255</v>
      </c>
      <c r="AP33" s="167">
        <f>AM33*Cashflow!$BK$88</f>
        <v>833.83028644688784</v>
      </c>
      <c r="AQ33" s="168">
        <f t="shared" si="28"/>
        <v>13428.830286446888</v>
      </c>
      <c r="AR33" s="174">
        <f t="shared" si="29"/>
        <v>1.4920922540496542</v>
      </c>
    </row>
    <row r="34" spans="2:44" x14ac:dyDescent="0.25">
      <c r="B34" s="166">
        <v>10000</v>
      </c>
      <c r="C34" s="167">
        <f>B34*Cashflow!$BK$73</f>
        <v>12500</v>
      </c>
      <c r="D34" s="167">
        <f>IF(B34&lt;Cashflow!$BH$117,0,IF(B34&lt;Cashflow!$BH$118,Cashflow!$BK$117,IF(B34&lt;Cashflow!$BH$119,Cashflow!$BK$118,Cashflow!$BK$119)))</f>
        <v>1255</v>
      </c>
      <c r="E34" s="167">
        <f>B34*Cashflow!$BK$65</f>
        <v>968.31976882567585</v>
      </c>
      <c r="F34" s="168">
        <f t="shared" si="18"/>
        <v>14723.319768825677</v>
      </c>
      <c r="G34" s="174">
        <f t="shared" si="19"/>
        <v>1.4723319768825678</v>
      </c>
      <c r="I34" s="175"/>
      <c r="K34" s="166">
        <v>10000</v>
      </c>
      <c r="L34" s="167">
        <f>K34*Cashflow!$BK$73</f>
        <v>12500</v>
      </c>
      <c r="M34" s="167">
        <f>IF(K34&lt;Cashflow!$BH$117,0,IF(K34&lt;Cashflow!$BH$118,Cashflow!$BK$117,IF(K34&lt;Cashflow!$BH$119,Cashflow!$BK$118,Cashflow!$BK$119)))</f>
        <v>1255</v>
      </c>
      <c r="N34" s="167">
        <f>K34*Cashflow!$BK$65</f>
        <v>968.31976882567585</v>
      </c>
      <c r="O34" s="168">
        <f t="shared" si="20"/>
        <v>14723.319768825677</v>
      </c>
      <c r="P34" s="174">
        <f t="shared" si="21"/>
        <v>1.4723319768825678</v>
      </c>
      <c r="R34" s="166">
        <v>10000</v>
      </c>
      <c r="S34" s="167">
        <f>R34*Cashflow!$BK$81</f>
        <v>12900</v>
      </c>
      <c r="T34" s="167">
        <f>IF(R34&lt;Cashflow!$BH$124,0,IF(R34&lt;Cashflow!$BH$125,Cashflow!$BK$124,IF(R34&lt;Cashflow!$BH$126,Cashflow!$BK$125,Cashflow!$BK$126)))</f>
        <v>1255</v>
      </c>
      <c r="U34" s="167">
        <f>R34*Cashflow!$BK$80</f>
        <v>926.4780960520975</v>
      </c>
      <c r="V34" s="168">
        <f t="shared" si="22"/>
        <v>15081.478096052098</v>
      </c>
      <c r="W34" s="174">
        <f t="shared" si="23"/>
        <v>1.5081478096052099</v>
      </c>
      <c r="Y34" s="166">
        <v>10000</v>
      </c>
      <c r="Z34" s="167">
        <f>Y34*Cashflow!$BK$81</f>
        <v>12900</v>
      </c>
      <c r="AA34" s="167">
        <f>IF(Y34&lt;Cashflow!$BH$124,0,IF(Y34&lt;Cashflow!$BH$125,Cashflow!$BK$124,IF(Y34&lt;Cashflow!$BH$126,Cashflow!$BK$125,Cashflow!$BK$126)))</f>
        <v>1255</v>
      </c>
      <c r="AB34" s="167">
        <f>Y34*Cashflow!$BK$80</f>
        <v>926.4780960520975</v>
      </c>
      <c r="AC34" s="168">
        <f t="shared" si="24"/>
        <v>15081.478096052098</v>
      </c>
      <c r="AD34" s="174">
        <f t="shared" si="25"/>
        <v>1.5081478096052099</v>
      </c>
      <c r="AF34" s="166">
        <v>10000</v>
      </c>
      <c r="AG34" s="167">
        <f>AF34*Cashflow!$BK$82</f>
        <v>12600</v>
      </c>
      <c r="AH34" s="167">
        <f>IF(AF34&lt;Cashflow!$BH$124,0,IF(AF34&lt;Cashflow!$BH$125,Cashflow!$BK$124,IF(AF34&lt;Cashflow!$BH$126,Cashflow!$BK$125,Cashflow!$BK$126)))</f>
        <v>1255</v>
      </c>
      <c r="AI34" s="167">
        <f>AF34*Cashflow!$BK$80</f>
        <v>926.4780960520975</v>
      </c>
      <c r="AJ34" s="168">
        <f t="shared" si="26"/>
        <v>14781.478096052098</v>
      </c>
      <c r="AK34" s="174">
        <f t="shared" si="27"/>
        <v>1.4781478096052099</v>
      </c>
      <c r="AM34" s="166">
        <v>10000</v>
      </c>
      <c r="AN34" s="167">
        <f>AM34*Cashflow!$BK$89</f>
        <v>12600</v>
      </c>
      <c r="AO34" s="167">
        <f>IF(AM34&lt;Cashflow!$BH$131,0,IF(AM34&lt;Cashflow!$BH$132,Cashflow!$BK$131,IF(AM34&lt;Cashflow!$BH$133,Cashflow!$BK$132,Cashflow!$BK$133)))</f>
        <v>1255</v>
      </c>
      <c r="AP34" s="167">
        <f>AM34*Cashflow!$BK$88</f>
        <v>926.4780960520975</v>
      </c>
      <c r="AQ34" s="168">
        <f t="shared" si="28"/>
        <v>14781.478096052098</v>
      </c>
      <c r="AR34" s="174">
        <f t="shared" si="29"/>
        <v>1.4781478096052099</v>
      </c>
    </row>
    <row r="35" spans="2:44" x14ac:dyDescent="0.25">
      <c r="B35" s="166">
        <v>11000</v>
      </c>
      <c r="C35" s="167">
        <f>B35*Cashflow!$BK$73</f>
        <v>13750</v>
      </c>
      <c r="D35" s="167">
        <f>IF(B35&lt;Cashflow!$BH$117,0,IF(B35&lt;Cashflow!$BH$118,Cashflow!$BK$117,IF(B35&lt;Cashflow!$BH$119,Cashflow!$BK$118,Cashflow!$BK$119)))</f>
        <v>1255</v>
      </c>
      <c r="E35" s="167">
        <f>B35*Cashflow!$BK$65</f>
        <v>1065.1517457082434</v>
      </c>
      <c r="F35" s="168">
        <f t="shared" si="18"/>
        <v>16070.151745708245</v>
      </c>
      <c r="G35" s="174">
        <f t="shared" si="19"/>
        <v>1.4609228859734769</v>
      </c>
      <c r="I35" s="175"/>
      <c r="K35" s="166">
        <v>11000</v>
      </c>
      <c r="L35" s="167">
        <f>K35*Cashflow!$BK$73</f>
        <v>13750</v>
      </c>
      <c r="M35" s="167">
        <f>IF(K35&lt;Cashflow!$BH$117,0,IF(K35&lt;Cashflow!$BH$118,Cashflow!$BK$117,IF(K35&lt;Cashflow!$BH$119,Cashflow!$BK$118,Cashflow!$BK$119)))</f>
        <v>1255</v>
      </c>
      <c r="N35" s="167">
        <f>K35*Cashflow!$BK$65</f>
        <v>1065.1517457082434</v>
      </c>
      <c r="O35" s="168">
        <f t="shared" si="20"/>
        <v>16070.151745708245</v>
      </c>
      <c r="P35" s="174">
        <f t="shared" si="21"/>
        <v>1.4609228859734769</v>
      </c>
      <c r="R35" s="166">
        <v>11000</v>
      </c>
      <c r="S35" s="167">
        <f>R35*Cashflow!$BK$81</f>
        <v>14190</v>
      </c>
      <c r="T35" s="167">
        <f>IF(R35&lt;Cashflow!$BH$124,0,IF(R35&lt;Cashflow!$BH$125,Cashflow!$BK$124,IF(R35&lt;Cashflow!$BH$126,Cashflow!$BK$125,Cashflow!$BK$126)))</f>
        <v>1255</v>
      </c>
      <c r="U35" s="167">
        <f>R35*Cashflow!$BK$80</f>
        <v>1019.1259056573073</v>
      </c>
      <c r="V35" s="168">
        <f t="shared" si="22"/>
        <v>16464.125905657307</v>
      </c>
      <c r="W35" s="174">
        <f t="shared" si="23"/>
        <v>1.4967387186961187</v>
      </c>
      <c r="Y35" s="166">
        <v>11000</v>
      </c>
      <c r="Z35" s="167">
        <f>Y35*Cashflow!$BK$81</f>
        <v>14190</v>
      </c>
      <c r="AA35" s="167">
        <f>IF(Y35&lt;Cashflow!$BH$124,0,IF(Y35&lt;Cashflow!$BH$125,Cashflow!$BK$124,IF(Y35&lt;Cashflow!$BH$126,Cashflow!$BK$125,Cashflow!$BK$126)))</f>
        <v>1255</v>
      </c>
      <c r="AB35" s="167">
        <f>Y35*Cashflow!$BK$80</f>
        <v>1019.1259056573073</v>
      </c>
      <c r="AC35" s="168">
        <f t="shared" si="24"/>
        <v>16464.125905657307</v>
      </c>
      <c r="AD35" s="174">
        <f t="shared" si="25"/>
        <v>1.4967387186961187</v>
      </c>
      <c r="AF35" s="166">
        <v>11000</v>
      </c>
      <c r="AG35" s="167">
        <f>AF35*Cashflow!$BK$82</f>
        <v>13860</v>
      </c>
      <c r="AH35" s="167">
        <f>IF(AF35&lt;Cashflow!$BH$124,0,IF(AF35&lt;Cashflow!$BH$125,Cashflow!$BK$124,IF(AF35&lt;Cashflow!$BH$126,Cashflow!$BK$125,Cashflow!$BK$126)))</f>
        <v>1255</v>
      </c>
      <c r="AI35" s="167">
        <f>AF35*Cashflow!$BK$80</f>
        <v>1019.1259056573073</v>
      </c>
      <c r="AJ35" s="168">
        <f t="shared" si="26"/>
        <v>16134.125905657307</v>
      </c>
      <c r="AK35" s="174">
        <f t="shared" si="27"/>
        <v>1.4667387186961189</v>
      </c>
      <c r="AM35" s="166">
        <v>11000</v>
      </c>
      <c r="AN35" s="167">
        <f>AM35*Cashflow!$BK$89</f>
        <v>13860</v>
      </c>
      <c r="AO35" s="167">
        <f>IF(AM35&lt;Cashflow!$BH$131,0,IF(AM35&lt;Cashflow!$BH$132,Cashflow!$BK$131,IF(AM35&lt;Cashflow!$BH$133,Cashflow!$BK$132,Cashflow!$BK$133)))</f>
        <v>1255</v>
      </c>
      <c r="AP35" s="167">
        <f>AM35*Cashflow!$BK$88</f>
        <v>1019.1259056573073</v>
      </c>
      <c r="AQ35" s="168">
        <f t="shared" si="28"/>
        <v>16134.125905657307</v>
      </c>
      <c r="AR35" s="174">
        <f t="shared" si="29"/>
        <v>1.4667387186961189</v>
      </c>
    </row>
    <row r="36" spans="2:44" x14ac:dyDescent="0.25">
      <c r="B36" s="166">
        <v>13000</v>
      </c>
      <c r="C36" s="167">
        <f>B36*Cashflow!$BK$73</f>
        <v>16250</v>
      </c>
      <c r="D36" s="167">
        <f>IF(B36&lt;Cashflow!$BH$117,0,IF(B36&lt;Cashflow!$BH$118,Cashflow!$BK$117,IF(B36&lt;Cashflow!$BH$119,Cashflow!$BK$118,Cashflow!$BK$119)))</f>
        <v>1255</v>
      </c>
      <c r="E36" s="167">
        <f>B36*Cashflow!$BK$65</f>
        <v>1258.8156994733786</v>
      </c>
      <c r="F36" s="168">
        <f t="shared" si="18"/>
        <v>18763.81569947338</v>
      </c>
      <c r="G36" s="174">
        <f t="shared" si="19"/>
        <v>1.4433704384210293</v>
      </c>
      <c r="I36" s="175"/>
      <c r="K36" s="166">
        <v>13000</v>
      </c>
      <c r="L36" s="167">
        <f>K36*Cashflow!$BK$73</f>
        <v>16250</v>
      </c>
      <c r="M36" s="167">
        <f>IF(K36&lt;Cashflow!$BH$117,0,IF(K36&lt;Cashflow!$BH$118,Cashflow!$BK$117,IF(K36&lt;Cashflow!$BH$119,Cashflow!$BK$118,Cashflow!$BK$119)))</f>
        <v>1255</v>
      </c>
      <c r="N36" s="167">
        <f>K36*Cashflow!$BK$65</f>
        <v>1258.8156994733786</v>
      </c>
      <c r="O36" s="168">
        <f t="shared" si="20"/>
        <v>18763.81569947338</v>
      </c>
      <c r="P36" s="174">
        <f t="shared" si="21"/>
        <v>1.4433704384210293</v>
      </c>
      <c r="R36" s="166">
        <v>13000</v>
      </c>
      <c r="S36" s="167">
        <f>R36*Cashflow!$BK$81</f>
        <v>16770</v>
      </c>
      <c r="T36" s="167">
        <f>IF(R36&lt;Cashflow!$BH$124,0,IF(R36&lt;Cashflow!$BH$125,Cashflow!$BK$124,IF(R36&lt;Cashflow!$BH$126,Cashflow!$BK$125,Cashflow!$BK$126)))</f>
        <v>1255</v>
      </c>
      <c r="U36" s="167">
        <f>R36*Cashflow!$BK$80</f>
        <v>1204.4215248677267</v>
      </c>
      <c r="V36" s="168">
        <f t="shared" si="22"/>
        <v>19229.421524867728</v>
      </c>
      <c r="W36" s="174">
        <f t="shared" si="23"/>
        <v>1.4791862711436714</v>
      </c>
      <c r="Y36" s="166">
        <v>13000</v>
      </c>
      <c r="Z36" s="167">
        <f>Y36*Cashflow!$BK$81</f>
        <v>16770</v>
      </c>
      <c r="AA36" s="167">
        <f>IF(Y36&lt;Cashflow!$BH$124,0,IF(Y36&lt;Cashflow!$BH$125,Cashflow!$BK$124,IF(Y36&lt;Cashflow!$BH$126,Cashflow!$BK$125,Cashflow!$BK$126)))</f>
        <v>1255</v>
      </c>
      <c r="AB36" s="167">
        <f>Y36*Cashflow!$BK$80</f>
        <v>1204.4215248677267</v>
      </c>
      <c r="AC36" s="168">
        <f t="shared" si="24"/>
        <v>19229.421524867728</v>
      </c>
      <c r="AD36" s="174">
        <f t="shared" si="25"/>
        <v>1.4791862711436714</v>
      </c>
      <c r="AF36" s="166">
        <v>13000</v>
      </c>
      <c r="AG36" s="167">
        <f>AF36*Cashflow!$BK$82</f>
        <v>16380</v>
      </c>
      <c r="AH36" s="167">
        <f>IF(AF36&lt;Cashflow!$BH$124,0,IF(AF36&lt;Cashflow!$BH$125,Cashflow!$BK$124,IF(AF36&lt;Cashflow!$BH$126,Cashflow!$BK$125,Cashflow!$BK$126)))</f>
        <v>1255</v>
      </c>
      <c r="AI36" s="167">
        <f>AF36*Cashflow!$BK$80</f>
        <v>1204.4215248677267</v>
      </c>
      <c r="AJ36" s="168">
        <f t="shared" si="26"/>
        <v>18839.421524867728</v>
      </c>
      <c r="AK36" s="174">
        <f t="shared" si="27"/>
        <v>1.4491862711436714</v>
      </c>
      <c r="AM36" s="166">
        <v>13000</v>
      </c>
      <c r="AN36" s="167">
        <f>AM36*Cashflow!$BK$89</f>
        <v>16380</v>
      </c>
      <c r="AO36" s="167">
        <f>IF(AM36&lt;Cashflow!$BH$131,0,IF(AM36&lt;Cashflow!$BH$132,Cashflow!$BK$131,IF(AM36&lt;Cashflow!$BH$133,Cashflow!$BK$132,Cashflow!$BK$133)))</f>
        <v>1255</v>
      </c>
      <c r="AP36" s="167">
        <f>AM36*Cashflow!$BK$88</f>
        <v>1204.4215248677267</v>
      </c>
      <c r="AQ36" s="168">
        <f t="shared" si="28"/>
        <v>18839.421524867728</v>
      </c>
      <c r="AR36" s="174">
        <f t="shared" si="29"/>
        <v>1.4491862711436714</v>
      </c>
    </row>
    <row r="37" spans="2:44" ht="15.75" thickBot="1" x14ac:dyDescent="0.3">
      <c r="B37" s="166">
        <v>15000</v>
      </c>
      <c r="C37" s="167">
        <f>B37*Cashflow!$BK$73</f>
        <v>18750</v>
      </c>
      <c r="D37" s="167">
        <f>IF(B37&lt;Cashflow!$BH$117,0,IF(B37&lt;Cashflow!$BH$118,Cashflow!$BK$117,IF(B37&lt;Cashflow!$BH$119,Cashflow!$BK$118,Cashflow!$BK$119)))</f>
        <v>1255</v>
      </c>
      <c r="E37" s="167">
        <f>B37*Cashflow!$BK$65</f>
        <v>1452.4796532385137</v>
      </c>
      <c r="F37" s="170">
        <f t="shared" si="18"/>
        <v>21457.479653238515</v>
      </c>
      <c r="G37" s="176">
        <f t="shared" si="19"/>
        <v>1.4304986435492344</v>
      </c>
      <c r="I37" s="175"/>
      <c r="K37" s="166">
        <v>15000</v>
      </c>
      <c r="L37" s="167">
        <f>K37*Cashflow!$BK$73</f>
        <v>18750</v>
      </c>
      <c r="M37" s="167">
        <f>IF(K37&lt;Cashflow!$BH$117,0,IF(K37&lt;Cashflow!$BH$118,Cashflow!$BK$117,IF(K37&lt;Cashflow!$BH$119,Cashflow!$BK$118,Cashflow!$BK$119)))</f>
        <v>1255</v>
      </c>
      <c r="N37" s="167">
        <f>K37*Cashflow!$BK$65</f>
        <v>1452.4796532385137</v>
      </c>
      <c r="O37" s="170">
        <f t="shared" si="20"/>
        <v>21457.479653238515</v>
      </c>
      <c r="P37" s="176">
        <f t="shared" si="21"/>
        <v>1.4304986435492344</v>
      </c>
      <c r="R37" s="166">
        <v>15000</v>
      </c>
      <c r="S37" s="167">
        <f>R37*Cashflow!$BK$81</f>
        <v>19350</v>
      </c>
      <c r="T37" s="167">
        <f>IF(R37&lt;Cashflow!$BH$124,0,IF(R37&lt;Cashflow!$BH$125,Cashflow!$BK$124,IF(R37&lt;Cashflow!$BH$126,Cashflow!$BK$125,Cashflow!$BK$126)))</f>
        <v>1255</v>
      </c>
      <c r="U37" s="167">
        <f>R37*Cashflow!$BK$80</f>
        <v>1389.7171440781462</v>
      </c>
      <c r="V37" s="170">
        <f t="shared" si="22"/>
        <v>21994.717144078146</v>
      </c>
      <c r="W37" s="176">
        <f t="shared" si="23"/>
        <v>1.4663144762718763</v>
      </c>
      <c r="Y37" s="166">
        <v>15000</v>
      </c>
      <c r="Z37" s="167">
        <f>Y37*Cashflow!$BK$81</f>
        <v>19350</v>
      </c>
      <c r="AA37" s="167">
        <f>IF(Y37&lt;Cashflow!$BH$124,0,IF(Y37&lt;Cashflow!$BH$125,Cashflow!$BK$124,IF(Y37&lt;Cashflow!$BH$126,Cashflow!$BK$125,Cashflow!$BK$126)))</f>
        <v>1255</v>
      </c>
      <c r="AB37" s="167">
        <f>Y37*Cashflow!$BK$80</f>
        <v>1389.7171440781462</v>
      </c>
      <c r="AC37" s="170">
        <f t="shared" si="24"/>
        <v>21994.717144078146</v>
      </c>
      <c r="AD37" s="176">
        <f t="shared" si="25"/>
        <v>1.4663144762718763</v>
      </c>
      <c r="AF37" s="166">
        <v>15000</v>
      </c>
      <c r="AG37" s="167">
        <f>AF37*Cashflow!$BK$82</f>
        <v>18900</v>
      </c>
      <c r="AH37" s="167">
        <f>IF(AF37&lt;Cashflow!$BH$124,0,IF(AF37&lt;Cashflow!$BH$125,Cashflow!$BK$124,IF(AF37&lt;Cashflow!$BH$126,Cashflow!$BK$125,Cashflow!$BK$126)))</f>
        <v>1255</v>
      </c>
      <c r="AI37" s="167">
        <f>AF37*Cashflow!$BK$80</f>
        <v>1389.7171440781462</v>
      </c>
      <c r="AJ37" s="170">
        <f t="shared" si="26"/>
        <v>21544.717144078146</v>
      </c>
      <c r="AK37" s="176">
        <f t="shared" si="27"/>
        <v>1.4363144762718765</v>
      </c>
      <c r="AM37" s="166">
        <v>15000</v>
      </c>
      <c r="AN37" s="167">
        <f>AM37*Cashflow!$BK$89</f>
        <v>18900</v>
      </c>
      <c r="AO37" s="167">
        <f>IF(AM37&lt;Cashflow!$BH$131,0,IF(AM37&lt;Cashflow!$BH$132,Cashflow!$BK$131,IF(AM37&lt;Cashflow!$BH$133,Cashflow!$BK$132,Cashflow!$BK$133)))</f>
        <v>1255</v>
      </c>
      <c r="AP37" s="167">
        <f>AM37*Cashflow!$BK$88</f>
        <v>1389.7171440781462</v>
      </c>
      <c r="AQ37" s="170">
        <f t="shared" si="28"/>
        <v>21544.717144078146</v>
      </c>
      <c r="AR37" s="176">
        <f t="shared" si="29"/>
        <v>1.4363144762718765</v>
      </c>
    </row>
    <row r="38" spans="2:44" x14ac:dyDescent="0.25">
      <c r="D38" s="178"/>
    </row>
    <row r="41" spans="2:44" x14ac:dyDescent="0.25">
      <c r="B41" s="177"/>
      <c r="C41" s="177"/>
      <c r="D41" s="177"/>
      <c r="E41" s="177"/>
      <c r="F41" s="177"/>
      <c r="G41" s="177"/>
      <c r="H41" s="177"/>
    </row>
  </sheetData>
  <sheetProtection sheet="1" objects="1" scenarios="1"/>
  <mergeCells count="12">
    <mergeCell ref="B2:F2"/>
    <mergeCell ref="K2:O2"/>
    <mergeCell ref="B21:G21"/>
    <mergeCell ref="K21:P21"/>
    <mergeCell ref="R2:V2"/>
    <mergeCell ref="R21:W21"/>
    <mergeCell ref="Y21:AD21"/>
    <mergeCell ref="Y2:AC2"/>
    <mergeCell ref="AF2:AJ2"/>
    <mergeCell ref="AF21:AK21"/>
    <mergeCell ref="AM2:AQ2"/>
    <mergeCell ref="AM21:AR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D813DC406C074D9866DD3C8CD8714E" ma:contentTypeVersion="" ma:contentTypeDescription="Create a new document." ma:contentTypeScope="" ma:versionID="b71a1e6c0a0feadb3d829ffcfb84b648">
  <xsd:schema xmlns:xsd="http://www.w3.org/2001/XMLSchema" xmlns:xs="http://www.w3.org/2001/XMLSchema" xmlns:p="http://schemas.microsoft.com/office/2006/metadata/properties" xmlns:ns2="1c7d3551-5694-4f12-b35a-d9a7a462ea4b" xmlns:ns3="a7f565ec-e60e-44e7-9b81-f866c66cefc4" xmlns:ns4="fb9733ba-e3b0-45a6-a2ff-dbb775586540" targetNamespace="http://schemas.microsoft.com/office/2006/metadata/properties" ma:root="true" ma:fieldsID="157a37102b7e87e29398f3b00a02c205" ns2:_="" ns3:_="" ns4:_="">
    <xsd:import namespace="1c7d3551-5694-4f12-b35a-d9a7a462ea4b"/>
    <xsd:import namespace="a7f565ec-e60e-44e7-9b81-f866c66cefc4"/>
    <xsd:import namespace="fb9733ba-e3b0-45a6-a2ff-dbb775586540"/>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7d3551-5694-4f12-b35a-d9a7a462ea4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f565ec-e60e-44e7-9b81-f866c66cefc4"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b9733ba-e3b0-45a6-a2ff-dbb77558654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8309BD-08F5-4239-AF72-461CE04799DB}">
  <ds:schemaRefs>
    <ds:schemaRef ds:uri="http://purl.org/dc/elements/1.1/"/>
    <ds:schemaRef ds:uri="http://schemas.microsoft.com/office/2006/metadata/properties"/>
    <ds:schemaRef ds:uri="fb9733ba-e3b0-45a6-a2ff-dbb775586540"/>
    <ds:schemaRef ds:uri="http://schemas.openxmlformats.org/package/2006/metadata/core-properties"/>
    <ds:schemaRef ds:uri="http://purl.org/dc/terms/"/>
    <ds:schemaRef ds:uri="http://schemas.microsoft.com/office/infopath/2007/PartnerControls"/>
    <ds:schemaRef ds:uri="1c7d3551-5694-4f12-b35a-d9a7a462ea4b"/>
    <ds:schemaRef ds:uri="http://schemas.microsoft.com/office/2006/documentManagement/types"/>
    <ds:schemaRef ds:uri="a7f565ec-e60e-44e7-9b81-f866c66cefc4"/>
    <ds:schemaRef ds:uri="http://www.w3.org/XML/1998/namespace"/>
    <ds:schemaRef ds:uri="http://purl.org/dc/dcmitype/"/>
  </ds:schemaRefs>
</ds:datastoreItem>
</file>

<file path=customXml/itemProps2.xml><?xml version="1.0" encoding="utf-8"?>
<ds:datastoreItem xmlns:ds="http://schemas.openxmlformats.org/officeDocument/2006/customXml" ds:itemID="{8C55678A-661C-4828-B7E1-24501EC78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7d3551-5694-4f12-b35a-d9a7a462ea4b"/>
    <ds:schemaRef ds:uri="a7f565ec-e60e-44e7-9b81-f866c66cefc4"/>
    <ds:schemaRef ds:uri="fb9733ba-e3b0-45a6-a2ff-dbb775586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B0664B-6321-4FD8-9924-44231508E6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Cashflow</vt:lpstr>
      <vt:lpstr>Indicative Income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Digby</dc:creator>
  <cp:lastModifiedBy>Michael Digby</cp:lastModifiedBy>
  <dcterms:created xsi:type="dcterms:W3CDTF">2016-10-21T09:07:12Z</dcterms:created>
  <dcterms:modified xsi:type="dcterms:W3CDTF">2018-10-22T10:57:24Z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0x01010006D813DC406C074D9866DD3C8CD8714E</vt:lpwstr>
  </property>
</Properties>
</file>