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29"/>
  <workbookPr codeName="ThisWorkbook"/>
  <mc:AlternateContent xmlns:mc="http://schemas.openxmlformats.org/markup-compatibility/2006">
    <mc:Choice Requires="x15">
      <x15ac:absPath xmlns:x15ac="http://schemas.microsoft.com/office/spreadsheetml/2010/11/ac" url="https://psncorg-my.sharepoint.com/personal/michael_digby_psnc_org_uk/Documents/"/>
    </mc:Choice>
  </mc:AlternateContent>
  <bookViews>
    <workbookView xWindow="0" yWindow="0" windowWidth="28800" windowHeight="13275"/>
  </bookViews>
  <sheets>
    <sheet name="Introduction" sheetId="3" r:id="rId1"/>
    <sheet name="Cashflow" sheetId="4" r:id="rId2"/>
    <sheet name="Indicative Income Tables" sheetId="5" r:id="rId3"/>
  </sheets>
  <externalReferences>
    <externalReference r:id="rId4"/>
  </externalReferences>
  <definedNames>
    <definedName name="Accruals">[1]Forecast!$E:$E</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5" i="5" l="1"/>
  <c r="R6" i="5"/>
  <c r="R7" i="5"/>
  <c r="R8" i="5"/>
  <c r="R9" i="5"/>
  <c r="R10" i="5"/>
  <c r="R11" i="5"/>
  <c r="R12" i="5"/>
  <c r="R13" i="5"/>
  <c r="R14" i="5"/>
  <c r="R15" i="5"/>
  <c r="R16" i="5"/>
  <c r="R17" i="5"/>
  <c r="R18" i="5"/>
  <c r="R4" i="5"/>
  <c r="Q5" i="5"/>
  <c r="Q6" i="5"/>
  <c r="Q7" i="5"/>
  <c r="Q8" i="5"/>
  <c r="Q9" i="5"/>
  <c r="Q10" i="5"/>
  <c r="Q11" i="5"/>
  <c r="Q12" i="5"/>
  <c r="Q13" i="5"/>
  <c r="Q14" i="5"/>
  <c r="Q15" i="5"/>
  <c r="Q16" i="5"/>
  <c r="Q17" i="5"/>
  <c r="Q18" i="5"/>
  <c r="Q4" i="5"/>
  <c r="P5" i="5"/>
  <c r="P6" i="5"/>
  <c r="P7" i="5"/>
  <c r="P8" i="5"/>
  <c r="P9" i="5"/>
  <c r="P10" i="5"/>
  <c r="P11" i="5"/>
  <c r="P12" i="5"/>
  <c r="P13" i="5"/>
  <c r="P14" i="5"/>
  <c r="P15" i="5"/>
  <c r="P16" i="5"/>
  <c r="P17" i="5"/>
  <c r="P18" i="5"/>
  <c r="P4" i="5"/>
  <c r="O5" i="5"/>
  <c r="O6" i="5"/>
  <c r="O7" i="5"/>
  <c r="O8" i="5"/>
  <c r="O9" i="5"/>
  <c r="O10" i="5"/>
  <c r="O11" i="5"/>
  <c r="O12" i="5"/>
  <c r="O13" i="5"/>
  <c r="O14" i="5"/>
  <c r="O15" i="5"/>
  <c r="O16" i="5"/>
  <c r="O17" i="5"/>
  <c r="O18" i="5"/>
  <c r="O4" i="5"/>
  <c r="S24" i="5"/>
  <c r="S25" i="5"/>
  <c r="S26" i="5"/>
  <c r="S27" i="5"/>
  <c r="S28" i="5"/>
  <c r="S29" i="5"/>
  <c r="S30" i="5"/>
  <c r="S31" i="5"/>
  <c r="S32" i="5"/>
  <c r="S33" i="5"/>
  <c r="S34" i="5"/>
  <c r="S35" i="5"/>
  <c r="S36" i="5"/>
  <c r="S37" i="5"/>
  <c r="S23" i="5"/>
  <c r="R24" i="5"/>
  <c r="R25" i="5"/>
  <c r="R26" i="5"/>
  <c r="R27" i="5"/>
  <c r="R28" i="5"/>
  <c r="R29" i="5"/>
  <c r="R30" i="5"/>
  <c r="R31" i="5"/>
  <c r="R32" i="5"/>
  <c r="R33" i="5"/>
  <c r="R34" i="5"/>
  <c r="R35" i="5"/>
  <c r="R36" i="5"/>
  <c r="R37" i="5"/>
  <c r="R23" i="5"/>
  <c r="Q24" i="5"/>
  <c r="Q25" i="5"/>
  <c r="Q26" i="5"/>
  <c r="Q27" i="5"/>
  <c r="Q28" i="5"/>
  <c r="Q29" i="5"/>
  <c r="Q30" i="5"/>
  <c r="Q31" i="5"/>
  <c r="Q32" i="5"/>
  <c r="Q33" i="5"/>
  <c r="Q34" i="5"/>
  <c r="Q35" i="5"/>
  <c r="Q36" i="5"/>
  <c r="Q37" i="5"/>
  <c r="Q23" i="5"/>
  <c r="P24" i="5" l="1"/>
  <c r="P25" i="5"/>
  <c r="P26" i="5"/>
  <c r="P27" i="5"/>
  <c r="P28" i="5"/>
  <c r="P29" i="5"/>
  <c r="P30" i="5"/>
  <c r="P31" i="5"/>
  <c r="P32" i="5"/>
  <c r="P33" i="5"/>
  <c r="P34" i="5"/>
  <c r="P35" i="5"/>
  <c r="P36" i="5"/>
  <c r="P37" i="5"/>
  <c r="P23" i="5"/>
  <c r="O24" i="5"/>
  <c r="O25" i="5"/>
  <c r="O26" i="5"/>
  <c r="O27" i="5"/>
  <c r="O28" i="5"/>
  <c r="O29" i="5"/>
  <c r="O30" i="5"/>
  <c r="O31" i="5"/>
  <c r="O32" i="5"/>
  <c r="O33" i="5"/>
  <c r="O34" i="5"/>
  <c r="O35" i="5"/>
  <c r="O36" i="5"/>
  <c r="O37" i="5"/>
  <c r="O23" i="5"/>
  <c r="D24" i="5"/>
  <c r="D25" i="5"/>
  <c r="D26" i="5"/>
  <c r="D27" i="5"/>
  <c r="D28" i="5"/>
  <c r="D29" i="5"/>
  <c r="D30" i="5"/>
  <c r="D31" i="5"/>
  <c r="D32" i="5"/>
  <c r="D33" i="5"/>
  <c r="D34" i="5"/>
  <c r="D35" i="5"/>
  <c r="D36" i="5"/>
  <c r="D37" i="5"/>
  <c r="D23" i="5"/>
  <c r="C24" i="5"/>
  <c r="C25" i="5"/>
  <c r="C26" i="5"/>
  <c r="C27" i="5"/>
  <c r="C28" i="5"/>
  <c r="C29" i="5"/>
  <c r="C30" i="5"/>
  <c r="C31" i="5"/>
  <c r="C32" i="5"/>
  <c r="C33" i="5"/>
  <c r="C34" i="5"/>
  <c r="C35" i="5"/>
  <c r="C36" i="5"/>
  <c r="C37" i="5"/>
  <c r="C23" i="5"/>
  <c r="AD27" i="4" l="1"/>
  <c r="AN71" i="4" l="1"/>
  <c r="W27" i="4" l="1"/>
  <c r="E14" i="4" l="1"/>
  <c r="AN78" i="4"/>
  <c r="AN77" i="4"/>
  <c r="AN76" i="4"/>
  <c r="AN67" i="4"/>
  <c r="AN63" i="4"/>
  <c r="AN60" i="4"/>
  <c r="AM52" i="4"/>
  <c r="AM51" i="4"/>
  <c r="AM50" i="4"/>
  <c r="AN44" i="4"/>
  <c r="AN43" i="4"/>
  <c r="AN42" i="4"/>
  <c r="AN36" i="4"/>
  <c r="AN35" i="4"/>
  <c r="AN34" i="4"/>
  <c r="AN28" i="4"/>
  <c r="AN27" i="4"/>
  <c r="AN26" i="4"/>
  <c r="F19" i="4"/>
  <c r="F37" i="4" s="1"/>
  <c r="E19" i="4"/>
  <c r="E37" i="4" s="1"/>
  <c r="G17" i="4"/>
  <c r="E25" i="5" l="1"/>
  <c r="F25" i="5" s="1"/>
  <c r="E29" i="5"/>
  <c r="F29" i="5" s="1"/>
  <c r="E33" i="5"/>
  <c r="F33" i="5" s="1"/>
  <c r="E37" i="5"/>
  <c r="F37" i="5" s="1"/>
  <c r="E28" i="5"/>
  <c r="F28" i="5" s="1"/>
  <c r="E36" i="5"/>
  <c r="F36" i="5" s="1"/>
  <c r="E26" i="5"/>
  <c r="F26" i="5" s="1"/>
  <c r="E30" i="5"/>
  <c r="F30" i="5" s="1"/>
  <c r="E34" i="5"/>
  <c r="F34" i="5" s="1"/>
  <c r="E23" i="5"/>
  <c r="F23" i="5" s="1"/>
  <c r="E32" i="5"/>
  <c r="F32" i="5" s="1"/>
  <c r="E27" i="5"/>
  <c r="F27" i="5" s="1"/>
  <c r="E31" i="5"/>
  <c r="F31" i="5" s="1"/>
  <c r="E35" i="5"/>
  <c r="F35" i="5" s="1"/>
  <c r="E24" i="5"/>
  <c r="F24" i="5" s="1"/>
  <c r="D6" i="5"/>
  <c r="D10" i="5"/>
  <c r="D14" i="5"/>
  <c r="D18" i="5"/>
  <c r="D13" i="5"/>
  <c r="D7" i="5"/>
  <c r="D11" i="5"/>
  <c r="D15" i="5"/>
  <c r="D4" i="5"/>
  <c r="D5" i="5"/>
  <c r="D17" i="5"/>
  <c r="D8" i="5"/>
  <c r="D12" i="5"/>
  <c r="D16" i="5"/>
  <c r="D9" i="5"/>
  <c r="H30" i="4"/>
  <c r="F14" i="4"/>
  <c r="G15" i="4" s="1"/>
  <c r="H18" i="4"/>
  <c r="H23" i="4"/>
  <c r="F15" i="4"/>
  <c r="G16" i="4"/>
  <c r="G19" i="4" s="1"/>
  <c r="G37" i="4" s="1"/>
  <c r="H25" i="4"/>
  <c r="H22" i="4"/>
  <c r="H24" i="4"/>
  <c r="G31" i="5" l="1"/>
  <c r="C12" i="5"/>
  <c r="E12" i="5" s="1"/>
  <c r="F12" i="5" s="1"/>
  <c r="G27" i="5"/>
  <c r="C8" i="5"/>
  <c r="E8" i="5" s="1"/>
  <c r="F8" i="5" s="1"/>
  <c r="C15" i="5"/>
  <c r="G34" i="5"/>
  <c r="G36" i="5"/>
  <c r="C17" i="5"/>
  <c r="E17" i="5" s="1"/>
  <c r="F17" i="5" s="1"/>
  <c r="C10" i="5"/>
  <c r="E10" i="5" s="1"/>
  <c r="F10" i="5" s="1"/>
  <c r="G29" i="5"/>
  <c r="G33" i="5"/>
  <c r="C14" i="5"/>
  <c r="E15" i="5"/>
  <c r="F15" i="5" s="1"/>
  <c r="G24" i="5"/>
  <c r="C5" i="5"/>
  <c r="E5" i="5" s="1"/>
  <c r="F5" i="5" s="1"/>
  <c r="C11" i="5"/>
  <c r="E11" i="5" s="1"/>
  <c r="F11" i="5" s="1"/>
  <c r="G30" i="5"/>
  <c r="G28" i="5"/>
  <c r="C9" i="5"/>
  <c r="E9" i="5" s="1"/>
  <c r="F9" i="5" s="1"/>
  <c r="G25" i="5"/>
  <c r="C6" i="5"/>
  <c r="E6" i="5" s="1"/>
  <c r="F6" i="5" s="1"/>
  <c r="C4" i="5"/>
  <c r="E4" i="5" s="1"/>
  <c r="F4" i="5" s="1"/>
  <c r="G23" i="5"/>
  <c r="E14" i="5"/>
  <c r="F14" i="5" s="1"/>
  <c r="G35" i="5"/>
  <c r="C16" i="5"/>
  <c r="E16" i="5" s="1"/>
  <c r="F16" i="5" s="1"/>
  <c r="G32" i="5"/>
  <c r="C13" i="5"/>
  <c r="E13" i="5" s="1"/>
  <c r="F13" i="5" s="1"/>
  <c r="C7" i="5"/>
  <c r="E7" i="5" s="1"/>
  <c r="F7" i="5" s="1"/>
  <c r="G26" i="5"/>
  <c r="C18" i="5"/>
  <c r="E18" i="5" s="1"/>
  <c r="F18" i="5" s="1"/>
  <c r="G37" i="5"/>
  <c r="G14" i="4"/>
  <c r="J18" i="4" s="1"/>
  <c r="I25" i="4"/>
  <c r="I30" i="4"/>
  <c r="I24" i="4"/>
  <c r="I22" i="4"/>
  <c r="H16" i="4"/>
  <c r="I17" i="4" s="1"/>
  <c r="I23" i="4"/>
  <c r="I18" i="4"/>
  <c r="H17" i="4"/>
  <c r="G38" i="4"/>
  <c r="H31" i="4"/>
  <c r="I31" i="4" l="1"/>
  <c r="I33" i="4" s="1"/>
  <c r="H19" i="4"/>
  <c r="H37" i="4" s="1"/>
  <c r="H38" i="4" s="1"/>
  <c r="J23" i="4"/>
  <c r="H15" i="4"/>
  <c r="J22" i="4"/>
  <c r="J24" i="4"/>
  <c r="J25" i="4"/>
  <c r="H14" i="4"/>
  <c r="K18" i="4" s="1"/>
  <c r="J30" i="4"/>
  <c r="I16" i="4"/>
  <c r="J17" i="4" s="1"/>
  <c r="J31" i="4" l="1"/>
  <c r="J33" i="4" s="1"/>
  <c r="I19" i="4"/>
  <c r="I37" i="4" s="1"/>
  <c r="I38" i="4" s="1"/>
  <c r="I14" i="4"/>
  <c r="L30" i="4" s="1"/>
  <c r="I15" i="4"/>
  <c r="K22" i="4"/>
  <c r="K24" i="4"/>
  <c r="J16" i="4"/>
  <c r="K17" i="4" s="1"/>
  <c r="K30" i="4"/>
  <c r="K23" i="4"/>
  <c r="K25" i="4"/>
  <c r="J15" i="4" l="1"/>
  <c r="L23" i="4"/>
  <c r="L25" i="4"/>
  <c r="L24" i="4"/>
  <c r="J14" i="4"/>
  <c r="L22" i="4"/>
  <c r="L18" i="4"/>
  <c r="K16" i="4"/>
  <c r="L17" i="4" s="1"/>
  <c r="K31" i="4"/>
  <c r="K33" i="4" s="1"/>
  <c r="J19" i="4"/>
  <c r="J37" i="4" s="1"/>
  <c r="J38" i="4" s="1"/>
  <c r="K15" i="4" l="1"/>
  <c r="M30" i="4"/>
  <c r="K19" i="4"/>
  <c r="K37" i="4" s="1"/>
  <c r="K38" i="4" s="1"/>
  <c r="M24" i="4"/>
  <c r="L31" i="4"/>
  <c r="L33" i="4" s="1"/>
  <c r="M18" i="4"/>
  <c r="K14" i="4"/>
  <c r="N18" i="4" s="1"/>
  <c r="L16" i="4"/>
  <c r="M17" i="4" s="1"/>
  <c r="M22" i="4"/>
  <c r="M23" i="4"/>
  <c r="M25" i="4"/>
  <c r="N30" i="4" l="1"/>
  <c r="L19" i="4"/>
  <c r="L37" i="4" s="1"/>
  <c r="L38" i="4" s="1"/>
  <c r="N23" i="4"/>
  <c r="L14" i="4"/>
  <c r="N16" i="4" s="1"/>
  <c r="N24" i="4"/>
  <c r="L15" i="4"/>
  <c r="M16" i="4"/>
  <c r="N17" i="4" s="1"/>
  <c r="N25" i="4"/>
  <c r="N22" i="4"/>
  <c r="M31" i="4"/>
  <c r="M33" i="4" s="1"/>
  <c r="N19" i="4" l="1"/>
  <c r="O22" i="4"/>
  <c r="O30" i="4"/>
  <c r="M15" i="4"/>
  <c r="O17" i="4"/>
  <c r="O23" i="4"/>
  <c r="O25" i="4"/>
  <c r="M14" i="4"/>
  <c r="O24" i="4"/>
  <c r="M19" i="4"/>
  <c r="M37" i="4" s="1"/>
  <c r="M38" i="4" s="1"/>
  <c r="N31" i="4"/>
  <c r="N33" i="4" s="1"/>
  <c r="N15" i="4" l="1"/>
  <c r="N14" i="4"/>
  <c r="P24" i="4"/>
  <c r="P30" i="4"/>
  <c r="O31" i="4"/>
  <c r="P25" i="4"/>
  <c r="P23" i="4"/>
  <c r="P22" i="4"/>
  <c r="N37" i="4"/>
  <c r="N38" i="4" s="1"/>
  <c r="O16" i="4" l="1"/>
  <c r="P17" i="4" s="1"/>
  <c r="O33" i="4"/>
  <c r="O15" i="4"/>
  <c r="Q30" i="4"/>
  <c r="Q24" i="4"/>
  <c r="Q25" i="4"/>
  <c r="Q22" i="4"/>
  <c r="P31" i="4"/>
  <c r="P33" i="4" s="1"/>
  <c r="P16" i="4" s="1"/>
  <c r="Q17" i="4" s="1"/>
  <c r="O14" i="4"/>
  <c r="O18" i="4"/>
  <c r="Q23" i="4"/>
  <c r="O19" i="4" l="1"/>
  <c r="O37" i="4" s="1"/>
  <c r="O38" i="4" s="1"/>
  <c r="R24" i="4"/>
  <c r="R30" i="4"/>
  <c r="R23" i="4"/>
  <c r="Q31" i="4"/>
  <c r="Q33" i="4" s="1"/>
  <c r="Q18" i="4" s="1"/>
  <c r="P15" i="4"/>
  <c r="R25" i="4"/>
  <c r="R22" i="4"/>
  <c r="P18" i="4"/>
  <c r="P19" i="4" s="1"/>
  <c r="P37" i="4" s="1"/>
  <c r="P38" i="4" s="1"/>
  <c r="P14" i="4"/>
  <c r="S30" i="4" s="1"/>
  <c r="Q16" i="4" l="1"/>
  <c r="R17" i="4" s="1"/>
  <c r="S26" i="4"/>
  <c r="R31" i="4"/>
  <c r="R33" i="4" s="1"/>
  <c r="S23" i="4"/>
  <c r="Q15" i="4"/>
  <c r="S22" i="4"/>
  <c r="Q14" i="4"/>
  <c r="T30" i="4" s="1"/>
  <c r="S31" i="4" l="1"/>
  <c r="S33" i="4" s="1"/>
  <c r="R18" i="4"/>
  <c r="Q19" i="4"/>
  <c r="Q37" i="4" s="1"/>
  <c r="Q38" i="4" s="1"/>
  <c r="R15" i="4"/>
  <c r="T26" i="4"/>
  <c r="R16" i="4"/>
  <c r="S17" i="4" s="1"/>
  <c r="T22" i="4"/>
  <c r="R14" i="4"/>
  <c r="T23" i="4" l="1"/>
  <c r="T31" i="4" s="1"/>
  <c r="T33" i="4" s="1"/>
  <c r="U30" i="4"/>
  <c r="R19" i="4"/>
  <c r="R37" i="4" s="1"/>
  <c r="R38" i="4" s="1"/>
  <c r="U22" i="4"/>
  <c r="S14" i="4"/>
  <c r="V30" i="4" s="1"/>
  <c r="S15" i="4"/>
  <c r="U26" i="4"/>
  <c r="S16" i="4" l="1"/>
  <c r="T17" i="4" s="1"/>
  <c r="S18" i="4"/>
  <c r="T18" i="4"/>
  <c r="U23" i="4"/>
  <c r="U31" i="4" s="1"/>
  <c r="U33" i="4" s="1"/>
  <c r="U16" i="4" s="1"/>
  <c r="V17" i="4" s="1"/>
  <c r="T14" i="4"/>
  <c r="V26" i="4"/>
  <c r="V22" i="4"/>
  <c r="T15" i="4"/>
  <c r="W22" i="4" l="1"/>
  <c r="W18" i="4"/>
  <c r="V16" i="4"/>
  <c r="W17" i="4" s="1"/>
  <c r="S19" i="4"/>
  <c r="S37" i="4" s="1"/>
  <c r="S38" i="4" s="1"/>
  <c r="T16" i="4"/>
  <c r="U17" i="4" s="1"/>
  <c r="U15" i="4"/>
  <c r="U14" i="4"/>
  <c r="X22" i="4" s="1"/>
  <c r="V23" i="4"/>
  <c r="V31" i="4" s="1"/>
  <c r="V33" i="4" s="1"/>
  <c r="W26" i="4"/>
  <c r="W30" i="4"/>
  <c r="U18" i="4"/>
  <c r="U19" i="4" l="1"/>
  <c r="U37" i="4" s="1"/>
  <c r="U38" i="4" s="1"/>
  <c r="T19" i="4"/>
  <c r="T37" i="4" s="1"/>
  <c r="T38" i="4" s="1"/>
  <c r="V15" i="4"/>
  <c r="X30" i="4"/>
  <c r="V14" i="4"/>
  <c r="X26" i="4"/>
  <c r="W23" i="4"/>
  <c r="V18" i="4"/>
  <c r="V19" i="4" s="1"/>
  <c r="V37" i="4" s="1"/>
  <c r="W15" i="4" l="1"/>
  <c r="Y30" i="4"/>
  <c r="V38" i="4"/>
  <c r="Y26" i="4"/>
  <c r="X23" i="4"/>
  <c r="X31" i="4" s="1"/>
  <c r="W14" i="4"/>
  <c r="Y22" i="4"/>
  <c r="Y23" i="4" l="1"/>
  <c r="Y31" i="4" s="1"/>
  <c r="Y33" i="4" s="1"/>
  <c r="Z30" i="4"/>
  <c r="Z26" i="4"/>
  <c r="Z22" i="4"/>
  <c r="X14" i="4"/>
  <c r="AA30" i="4" s="1"/>
  <c r="X15" i="4"/>
  <c r="Y15" i="4" l="1"/>
  <c r="Z23" i="4"/>
  <c r="Z31" i="4" s="1"/>
  <c r="Z33" i="4" s="1"/>
  <c r="Y14" i="4"/>
  <c r="AA26" i="4"/>
  <c r="AA22" i="4"/>
  <c r="W31" i="4"/>
  <c r="X33" i="4" s="1"/>
  <c r="U13" i="4" s="1"/>
  <c r="V13" i="4" s="1"/>
  <c r="W13" i="4" s="1"/>
  <c r="AB30" i="4" l="1"/>
  <c r="AB26" i="4"/>
  <c r="AB22" i="4"/>
  <c r="Z15" i="4"/>
  <c r="AA23" i="4"/>
  <c r="AA31" i="4" s="1"/>
  <c r="AA33" i="4" s="1"/>
  <c r="X13" i="4" s="1"/>
  <c r="Y13" i="4" s="1"/>
  <c r="Z14" i="4"/>
  <c r="W33" i="4"/>
  <c r="AC30" i="4" l="1"/>
  <c r="AC26" i="4"/>
  <c r="AC22" i="4"/>
  <c r="AA15" i="4"/>
  <c r="AA14" i="4"/>
  <c r="AB23" i="4"/>
  <c r="AB31" i="4" s="1"/>
  <c r="AB33" i="4" s="1"/>
  <c r="W16" i="4"/>
  <c r="X17" i="4" s="1"/>
  <c r="AB14" i="4" l="1"/>
  <c r="AD30" i="4"/>
  <c r="AD26" i="4"/>
  <c r="AD22" i="4"/>
  <c r="AB15" i="4"/>
  <c r="AC23" i="4"/>
  <c r="AC31" i="4" s="1"/>
  <c r="AC33" i="4" s="1"/>
  <c r="W19" i="4"/>
  <c r="W37" i="4" s="1"/>
  <c r="W38" i="4" s="1"/>
  <c r="X16" i="4"/>
  <c r="Y17" i="4" s="1"/>
  <c r="X18" i="4"/>
  <c r="Y16" i="4"/>
  <c r="Z17" i="4" s="1"/>
  <c r="AC14" i="4" l="1"/>
  <c r="AD23" i="4"/>
  <c r="AD31" i="4" s="1"/>
  <c r="AD33" i="4" s="1"/>
  <c r="AC15" i="4"/>
  <c r="AE22" i="4"/>
  <c r="AE30" i="4"/>
  <c r="AE26" i="4"/>
  <c r="X19" i="4"/>
  <c r="X37" i="4" s="1"/>
  <c r="X38" i="4" s="1"/>
  <c r="Y18" i="4"/>
  <c r="AF30" i="4" l="1"/>
  <c r="AF22" i="4"/>
  <c r="AD14" i="4"/>
  <c r="AF26" i="4"/>
  <c r="AD15" i="4"/>
  <c r="AE23" i="4"/>
  <c r="AE31" i="4" s="1"/>
  <c r="AE33" i="4" s="1"/>
  <c r="Z18" i="4"/>
  <c r="Z16" i="4"/>
  <c r="AA17" i="4" s="1"/>
  <c r="Y19" i="4"/>
  <c r="Y37" i="4" l="1"/>
  <c r="Y38" i="4" s="1"/>
  <c r="AF23" i="4"/>
  <c r="AF31" i="4" s="1"/>
  <c r="AF33" i="4" s="1"/>
  <c r="AG26" i="4"/>
  <c r="AG30" i="4"/>
  <c r="AG22" i="4"/>
  <c r="AE14" i="4"/>
  <c r="AE15" i="4"/>
  <c r="AA18" i="4"/>
  <c r="AA16" i="4"/>
  <c r="AB17" i="4" s="1"/>
  <c r="Z19" i="4"/>
  <c r="Z37" i="4" s="1"/>
  <c r="Z38" i="4" s="1"/>
  <c r="AF15" i="4" l="1"/>
  <c r="AF14" i="4"/>
  <c r="AG23" i="4"/>
  <c r="AG31" i="4" s="1"/>
  <c r="AG33" i="4" s="1"/>
  <c r="AH26" i="4"/>
  <c r="AH30" i="4"/>
  <c r="AH22" i="4"/>
  <c r="Z13" i="4"/>
  <c r="AB18" i="4"/>
  <c r="AB16" i="4"/>
  <c r="AC17" i="4" s="1"/>
  <c r="AA19" i="4"/>
  <c r="AA37" i="4" s="1"/>
  <c r="AA38" i="4" s="1"/>
  <c r="AG14" i="4" l="1"/>
  <c r="AH23" i="4"/>
  <c r="AH31" i="4" s="1"/>
  <c r="AH33" i="4" s="1"/>
  <c r="AG15" i="4"/>
  <c r="AB19" i="4"/>
  <c r="AB37" i="4" s="1"/>
  <c r="AB38" i="4" s="1"/>
  <c r="AA13" i="4"/>
  <c r="AC18" i="4"/>
  <c r="AC16" i="4"/>
  <c r="AD17" i="4" s="1"/>
  <c r="AH14" i="4" l="1"/>
  <c r="AH15" i="4"/>
  <c r="AC19" i="4"/>
  <c r="AC37" i="4" s="1"/>
  <c r="AC38" i="4" s="1"/>
  <c r="AB13" i="4"/>
  <c r="AD18" i="4"/>
  <c r="AD16" i="4"/>
  <c r="AE17" i="4" s="1"/>
  <c r="AD19" i="4" l="1"/>
  <c r="AD37" i="4" s="1"/>
  <c r="AD38" i="4" s="1"/>
  <c r="AC13" i="4"/>
  <c r="AE18" i="4"/>
  <c r="AE16" i="4"/>
  <c r="AF17" i="4" s="1"/>
  <c r="AE19" i="4" l="1"/>
  <c r="AE37" i="4" s="1"/>
  <c r="AE38" i="4" s="1"/>
  <c r="AD13" i="4"/>
  <c r="AG16" i="4" s="1"/>
  <c r="AF16" i="4"/>
  <c r="AG17" i="4" s="1"/>
  <c r="AF18" i="4"/>
  <c r="AF19" i="4" l="1"/>
  <c r="AF37" i="4" s="1"/>
  <c r="AF38" i="4" s="1"/>
  <c r="AE13" i="4"/>
  <c r="AH17" i="4"/>
  <c r="AG18" i="4"/>
  <c r="AG19" i="4" s="1"/>
  <c r="AG37" i="4" s="1"/>
  <c r="AG38" i="4" s="1"/>
  <c r="AH18" i="4" l="1"/>
  <c r="AF13" i="4"/>
  <c r="AG13" i="4" s="1"/>
  <c r="AH13" i="4" s="1"/>
  <c r="AH16" i="4"/>
  <c r="AH19" i="4" l="1"/>
  <c r="AH37" i="4" s="1"/>
  <c r="AH38" i="4" s="1"/>
</calcChain>
</file>

<file path=xl/sharedStrings.xml><?xml version="1.0" encoding="utf-8"?>
<sst xmlns="http://schemas.openxmlformats.org/spreadsheetml/2006/main" count="153" uniqueCount="99">
  <si>
    <t>payment per year</t>
  </si>
  <si>
    <t>payment per month</t>
  </si>
  <si>
    <t>lower</t>
  </si>
  <si>
    <t>upper</t>
  </si>
  <si>
    <t>+</t>
  </si>
  <si>
    <t>per item</t>
  </si>
  <si>
    <t>Special fees and allowances have been distributed in proportion to monthly items for illustrative purposes only. In practice, individual pharmacy income will vary according to the mix of products dispensed.</t>
  </si>
  <si>
    <t>SAF</t>
  </si>
  <si>
    <t>This guide and calculator do not cover locally agreed contracts (Local Pharmaceutical Services contracts).</t>
  </si>
  <si>
    <t>IMPORTANT:</t>
  </si>
  <si>
    <t>These figures are illustrative only.</t>
  </si>
  <si>
    <t>Income relating to Advanced and Enhanced Services is not included.</t>
  </si>
  <si>
    <t>Community Pharmacy Contractual Framework: PSNC's cashflow calculator</t>
  </si>
  <si>
    <t>Pharmacy average monthly item volume:</t>
  </si>
  <si>
    <t>per month</t>
  </si>
  <si>
    <t>2016/17 H1</t>
  </si>
  <si>
    <t>2016/17 H2</t>
  </si>
  <si>
    <t>2017/18 H1</t>
  </si>
  <si>
    <t>Margins</t>
  </si>
  <si>
    <t>Pharmacy opens 1st Jan</t>
  </si>
  <si>
    <t>Dispensing / SOP Month</t>
  </si>
  <si>
    <t>AIV</t>
  </si>
  <si>
    <t>Fees</t>
  </si>
  <si>
    <t>Items Dispensed</t>
  </si>
  <si>
    <t xml:space="preserve">This model assumes that: </t>
  </si>
  <si>
    <t>Items Submitted for Payment</t>
  </si>
  <si>
    <t>Advance Payment</t>
  </si>
  <si>
    <r>
      <t>·</t>
    </r>
    <r>
      <rPr>
        <sz val="7"/>
        <rFont val="Times New Roman"/>
        <family val="1"/>
      </rPr>
      <t xml:space="preserve">         </t>
    </r>
    <r>
      <rPr>
        <sz val="11"/>
        <rFont val="Calibri"/>
        <family val="2"/>
        <scheme val="minor"/>
      </rPr>
      <t>DH imposes a cut in total funding of £113m in H2 2016/17</t>
    </r>
  </si>
  <si>
    <t>Advance Recovered</t>
  </si>
  <si>
    <r>
      <t>·</t>
    </r>
    <r>
      <rPr>
        <sz val="7"/>
        <rFont val="Times New Roman"/>
        <family val="1"/>
      </rPr>
      <t xml:space="preserve">         </t>
    </r>
    <r>
      <rPr>
        <sz val="11"/>
        <rFont val="Calibri"/>
        <family val="2"/>
        <scheme val="minor"/>
      </rPr>
      <t>DH imposes a further cut in total funding of £95m in 2017/18</t>
    </r>
  </si>
  <si>
    <t>Total  value of account</t>
  </si>
  <si>
    <r>
      <t>·</t>
    </r>
    <r>
      <rPr>
        <sz val="7"/>
        <rFont val="Times New Roman"/>
        <family val="1"/>
      </rPr>
      <t xml:space="preserve">         </t>
    </r>
    <r>
      <rPr>
        <sz val="11"/>
        <rFont val="Calibri"/>
        <family val="2"/>
        <scheme val="minor"/>
      </rPr>
      <t>DH imposes its proposal of phasing out the Establishment Payment, reducing the pay rate by 20% from Dec-16, and by 40% from April-17</t>
    </r>
  </si>
  <si>
    <t>Total payment</t>
  </si>
  <si>
    <r>
      <t>·</t>
    </r>
    <r>
      <rPr>
        <sz val="7"/>
        <rFont val="Times New Roman"/>
        <family val="1"/>
      </rPr>
      <t xml:space="preserve">         </t>
    </r>
    <r>
      <rPr>
        <sz val="11"/>
        <rFont val="Calibri"/>
        <family val="2"/>
        <scheme val="minor"/>
      </rPr>
      <t>SAF is introduced in Dec-16</t>
    </r>
  </si>
  <si>
    <t>Special fees &amp; allowances</t>
  </si>
  <si>
    <t>EP</t>
  </si>
  <si>
    <t>PP table (Nov-15 to Mar-16)</t>
  </si>
  <si>
    <t>Prescription fee, Repeat Disp. &amp; EPS</t>
  </si>
  <si>
    <t>PP</t>
  </si>
  <si>
    <t>QP</t>
  </si>
  <si>
    <t>Margin</t>
  </si>
  <si>
    <t>Payment excluding reimbursement</t>
  </si>
  <si>
    <t>AIV change</t>
  </si>
  <si>
    <t>PP table (Apr-16 to Jul-16)</t>
  </si>
  <si>
    <t>Cash change</t>
  </si>
  <si>
    <t>Percentage change</t>
  </si>
  <si>
    <t>PP table (Aug-16 to Sept-16)</t>
  </si>
  <si>
    <t>PP table (Oct-16 to Nov-17)</t>
  </si>
  <si>
    <t>Pharmacy Cost Assumptions</t>
  </si>
  <si>
    <t>Base cost (per year):</t>
  </si>
  <si>
    <t>Per item cost:</t>
  </si>
  <si>
    <t>Fees &amp; Margin</t>
  </si>
  <si>
    <t>Total 16/17 Margin:</t>
  </si>
  <si>
    <t>16/17 forecast Total Items:</t>
  </si>
  <si>
    <t>Margin per item:</t>
  </si>
  <si>
    <t>Prescription Fee:</t>
  </si>
  <si>
    <t>16/17 forecast 2A-2F fees:</t>
  </si>
  <si>
    <t>Cat M reduction</t>
  </si>
  <si>
    <t>per item:</t>
  </si>
  <si>
    <t>Margin 17/18</t>
  </si>
  <si>
    <t>Total 17/18 Margin:</t>
  </si>
  <si>
    <t>EP table (Current - up to Nov-16)</t>
  </si>
  <si>
    <t>EP table (16/17 H2 -  20% cut from Dec-16)</t>
  </si>
  <si>
    <t>Dec-16 to Mar-17 SAF</t>
  </si>
  <si>
    <t>EP table (17/18 - 40% cut)</t>
  </si>
  <si>
    <t>2017/18 SAF</t>
  </si>
  <si>
    <t>This section contains a cashflow indicator, intended to demonstrate how cashflow could be affected for an average pharmacy in £ (sterling) for Essential Services provided under the Community Pharmacy Contractual Framework. These figures are based on the imposition for 2016/17 and 2017/18 that are outlined in relation to dispensing volume. The figures shown here are illustrative only.</t>
  </si>
  <si>
    <t>Review Point 2 amount</t>
  </si>
  <si>
    <t>Review Point 1 amount</t>
  </si>
  <si>
    <t>17/18 forecast total items:</t>
  </si>
  <si>
    <t>Reduction during Aug-17 to Jul-18</t>
  </si>
  <si>
    <t>Forecast items for Aug-17 to Jul-18</t>
  </si>
  <si>
    <t>2017/18 H2</t>
  </si>
  <si>
    <t>nb. Assumes pharmacy qualifies for full amount</t>
  </si>
  <si>
    <t>To give the most accurate result for your pharmacy, please replace the national AIV figures in cells D13 to T13 with your own pharmacy's AIV figures, found on Page 2 of each monthly Schedule of Payments.</t>
  </si>
  <si>
    <r>
      <t>·</t>
    </r>
    <r>
      <rPr>
        <sz val="7"/>
        <color theme="1"/>
        <rFont val="Times New Roman"/>
        <family val="1"/>
      </rPr>
      <t xml:space="preserve">         </t>
    </r>
    <r>
      <rPr>
        <sz val="11"/>
        <color theme="1"/>
        <rFont val="Calibri"/>
        <family val="2"/>
        <scheme val="minor"/>
      </rPr>
      <t>From August 2017 the margin run rate is therefore fixed at £620m</t>
    </r>
  </si>
  <si>
    <r>
      <t>·</t>
    </r>
    <r>
      <rPr>
        <sz val="7"/>
        <color theme="1"/>
        <rFont val="Times New Roman"/>
        <family val="1"/>
      </rPr>
      <t xml:space="preserve">         </t>
    </r>
    <r>
      <rPr>
        <sz val="11"/>
        <color theme="1"/>
        <rFont val="Calibri"/>
        <family val="2"/>
        <scheme val="minor"/>
      </rPr>
      <t>£15m a month will be recovered from August 2017 onwards</t>
    </r>
  </si>
  <si>
    <r>
      <t xml:space="preserve">·   </t>
    </r>
    <r>
      <rPr>
        <sz val="11"/>
        <rFont val="Calibri"/>
        <family val="2"/>
        <scheme val="minor"/>
      </rPr>
      <t>PhAS is not included in this model</t>
    </r>
  </si>
  <si>
    <t>Community Pharmacy Contractual Framework: PSNC's cashflow indicator</t>
  </si>
  <si>
    <t>The Pharmacy Access Scheme (PhAS) payments are not factored into this calcuator.</t>
  </si>
  <si>
    <t>Information on PhAS and a list of eligible pharmacies is available at psnc.org.uk/phas</t>
  </si>
  <si>
    <t xml:space="preserve">Estimated average buying profit is derived from the total agreed margin divided by the forecasted items, and is intended only as a guide. </t>
  </si>
  <si>
    <t>Last updated 27/07/17</t>
  </si>
  <si>
    <t>Please input Pharmacy AIVs from Dec-15 to Apr-17 Schedule of Payments into the bordered cells below</t>
  </si>
  <si>
    <t>input:</t>
  </si>
  <si>
    <t>Apr-17 to Jul-17</t>
  </si>
  <si>
    <t>Items per month</t>
  </si>
  <si>
    <t>Total income from fees and allowances pcm</t>
  </si>
  <si>
    <t>Estimated average     buying profit</t>
  </si>
  <si>
    <t>Indicative total income pcm</t>
  </si>
  <si>
    <t>£ per item</t>
  </si>
  <si>
    <t>Establishment Payment</t>
  </si>
  <si>
    <t>Special fees and allowances</t>
  </si>
  <si>
    <r>
      <rPr>
        <sz val="9"/>
        <color theme="1"/>
        <rFont val="Calibri"/>
        <family val="2"/>
        <scheme val="minor"/>
      </rPr>
      <t xml:space="preserve">Indicative </t>
    </r>
    <r>
      <rPr>
        <b/>
        <sz val="9"/>
        <color theme="1"/>
        <rFont val="Calibri"/>
        <family val="2"/>
        <scheme val="minor"/>
      </rPr>
      <t xml:space="preserve">monthly </t>
    </r>
    <r>
      <rPr>
        <sz val="9"/>
        <color theme="1"/>
        <rFont val="Calibri"/>
        <family val="2"/>
        <scheme val="minor"/>
      </rPr>
      <t xml:space="preserve">income from fees and allowances for Essential Services by item band during dispensing months </t>
    </r>
    <r>
      <rPr>
        <b/>
        <sz val="9"/>
        <color theme="1"/>
        <rFont val="Calibri"/>
        <family val="2"/>
        <scheme val="minor"/>
      </rPr>
      <t>Apr-17 to Jul-17</t>
    </r>
  </si>
  <si>
    <r>
      <rPr>
        <sz val="9"/>
        <color theme="1"/>
        <rFont val="Calibri"/>
        <family val="2"/>
        <scheme val="minor"/>
      </rPr>
      <t xml:space="preserve">Indicative </t>
    </r>
    <r>
      <rPr>
        <b/>
        <sz val="9"/>
        <color theme="1"/>
        <rFont val="Calibri"/>
        <family val="2"/>
        <scheme val="minor"/>
      </rPr>
      <t>monthly</t>
    </r>
    <r>
      <rPr>
        <sz val="9"/>
        <color theme="1"/>
        <rFont val="Calibri"/>
        <family val="2"/>
        <scheme val="minor"/>
      </rPr>
      <t xml:space="preserve"> income for national contract Essential Services by item band during</t>
    </r>
    <r>
      <rPr>
        <b/>
        <sz val="9"/>
        <color theme="1"/>
        <rFont val="Calibri"/>
        <family val="2"/>
        <scheme val="minor"/>
      </rPr>
      <t xml:space="preserve"> dispensing months Apr-17 to Jul-17</t>
    </r>
    <r>
      <rPr>
        <sz val="9"/>
        <color theme="1"/>
        <rFont val="Calibri"/>
        <family val="2"/>
        <scheme val="minor"/>
      </rPr>
      <t xml:space="preserve"> inclusive</t>
    </r>
  </si>
  <si>
    <t>16/17 Special fees / allowances per item:</t>
  </si>
  <si>
    <t>Aug-17 to Mar-18</t>
  </si>
  <si>
    <r>
      <rPr>
        <sz val="9"/>
        <color theme="1"/>
        <rFont val="Calibri"/>
        <family val="2"/>
        <scheme val="minor"/>
      </rPr>
      <t xml:space="preserve">Indicative </t>
    </r>
    <r>
      <rPr>
        <b/>
        <sz val="9"/>
        <color theme="1"/>
        <rFont val="Calibri"/>
        <family val="2"/>
        <scheme val="minor"/>
      </rPr>
      <t>monthly</t>
    </r>
    <r>
      <rPr>
        <sz val="9"/>
        <color theme="1"/>
        <rFont val="Calibri"/>
        <family val="2"/>
        <scheme val="minor"/>
      </rPr>
      <t xml:space="preserve"> income for national contract Essential Services by item band during</t>
    </r>
    <r>
      <rPr>
        <b/>
        <sz val="9"/>
        <color theme="1"/>
        <rFont val="Calibri"/>
        <family val="2"/>
        <scheme val="minor"/>
      </rPr>
      <t xml:space="preserve"> dispensing months Aug-17 to Mar-18</t>
    </r>
    <r>
      <rPr>
        <sz val="9"/>
        <color theme="1"/>
        <rFont val="Calibri"/>
        <family val="2"/>
        <scheme val="minor"/>
      </rPr>
      <t xml:space="preserve"> inclusive</t>
    </r>
  </si>
  <si>
    <r>
      <rPr>
        <sz val="9"/>
        <color theme="1"/>
        <rFont val="Calibri"/>
        <family val="2"/>
        <scheme val="minor"/>
      </rPr>
      <t xml:space="preserve">Indicative </t>
    </r>
    <r>
      <rPr>
        <b/>
        <sz val="9"/>
        <color theme="1"/>
        <rFont val="Calibri"/>
        <family val="2"/>
        <scheme val="minor"/>
      </rPr>
      <t xml:space="preserve">monthly </t>
    </r>
    <r>
      <rPr>
        <sz val="9"/>
        <color theme="1"/>
        <rFont val="Calibri"/>
        <family val="2"/>
        <scheme val="minor"/>
      </rPr>
      <t xml:space="preserve">income from fees and allowances for Essential Services by item band during dispensing months </t>
    </r>
    <r>
      <rPr>
        <b/>
        <sz val="9"/>
        <color theme="1"/>
        <rFont val="Calibri"/>
        <family val="2"/>
        <scheme val="minor"/>
      </rPr>
      <t>Aug-17 to Mar-18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</si>
</sst>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 #,##0.00_-;_-* &quot;-&quot;??_-;_-@_-"/>
    <numFmt numFmtId="164" formatCode="&quot;£&quot;#,##0"/>
    <numFmt numFmtId="165" formatCode="&quot;£&quot;#,##0.00"/>
    <numFmt numFmtId="166" formatCode="_-* #,##0_-;\-* #,##0_-;_-* &quot;-&quot;??_-;_-@_-"/>
    <numFmt numFmtId="167" formatCode="&quot;£&quot;#,##0.000"/>
    <numFmt numFmtId="168" formatCode="&quot;£&quot;#,##0.0000"/>
    <numFmt numFmtId="169" formatCode="_-* #,##0.0000_-;\-* #,##0.0000_-;_-* &quot;-&quot;??_-;_-@_-"/>
    <numFmt numFmtId="170" formatCode="_-* #,##0.00000_-;\-* #,##0.00000_-;_-* &quot;-&quot;??_-;_-@_-"/>
    <numFmt numFmtId="171" formatCode="0.000"/>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0.5"/>
      <color theme="1"/>
      <name val="Symbol"/>
      <family val="1"/>
      <charset val="2"/>
    </font>
    <font>
      <sz val="11"/>
      <name val="Calibri"/>
      <family val="2"/>
      <scheme val="minor"/>
    </font>
    <font>
      <u/>
      <sz val="11"/>
      <color theme="10"/>
      <name val="Calibri"/>
      <family val="2"/>
      <scheme val="minor"/>
    </font>
    <font>
      <sz val="11"/>
      <color theme="0" tint="-0.34998626667073579"/>
      <name val="Calibri"/>
      <family val="2"/>
      <scheme val="minor"/>
    </font>
    <font>
      <b/>
      <sz val="16"/>
      <color theme="1"/>
      <name val="Calibri"/>
      <family val="2"/>
      <scheme val="minor"/>
    </font>
    <font>
      <sz val="10.5"/>
      <color theme="1"/>
      <name val="Calibri"/>
      <family val="2"/>
      <scheme val="minor"/>
    </font>
    <font>
      <b/>
      <sz val="10.5"/>
      <color rgb="FFFF1D1D"/>
      <name val="Calibri"/>
      <family val="2"/>
      <scheme val="minor"/>
    </font>
    <font>
      <sz val="11"/>
      <color rgb="FFFF0000"/>
      <name val="Calibri"/>
      <family val="2"/>
      <scheme val="minor"/>
    </font>
    <font>
      <i/>
      <sz val="11"/>
      <color theme="1"/>
      <name val="Calibri"/>
      <family val="2"/>
      <scheme val="minor"/>
    </font>
    <font>
      <sz val="13"/>
      <color rgb="FF2E74B5"/>
      <name val="Calibri Light"/>
      <family val="2"/>
    </font>
    <font>
      <sz val="9"/>
      <color theme="0" tint="-0.34998626667073579"/>
      <name val="Calibri"/>
      <family val="2"/>
      <scheme val="minor"/>
    </font>
    <font>
      <sz val="11"/>
      <color theme="1"/>
      <name val="Symbol"/>
      <family val="1"/>
      <charset val="2"/>
    </font>
    <font>
      <b/>
      <sz val="11"/>
      <color rgb="FFFF0000"/>
      <name val="Calibri"/>
      <family val="2"/>
      <scheme val="minor"/>
    </font>
    <font>
      <sz val="11"/>
      <name val="Symbol"/>
      <family val="1"/>
      <charset val="2"/>
    </font>
    <font>
      <sz val="11"/>
      <color rgb="FFC00000"/>
      <name val="Calibri"/>
      <family val="2"/>
      <scheme val="minor"/>
    </font>
    <font>
      <sz val="11"/>
      <color rgb="FFFF7C80"/>
      <name val="Calibri"/>
      <family val="2"/>
      <scheme val="minor"/>
    </font>
    <font>
      <sz val="7"/>
      <color theme="1"/>
      <name val="Times New Roman"/>
      <family val="1"/>
    </font>
    <font>
      <sz val="7"/>
      <name val="Times New Roman"/>
      <family val="1"/>
    </font>
    <font>
      <sz val="9"/>
      <color theme="5"/>
      <name val="Calibri"/>
      <family val="2"/>
      <scheme val="minor"/>
    </font>
    <font>
      <b/>
      <sz val="18"/>
      <color theme="1"/>
      <name val="Calibri"/>
      <family val="2"/>
      <scheme val="minor"/>
    </font>
    <font>
      <b/>
      <sz val="9"/>
      <color theme="1"/>
      <name val="Calibri"/>
      <family val="2"/>
      <scheme val="minor"/>
    </font>
    <font>
      <sz val="10"/>
      <color theme="1"/>
      <name val="Calibri"/>
      <family val="2"/>
      <scheme val="minor"/>
    </font>
    <font>
      <sz val="9"/>
      <color theme="1"/>
      <name val="Calibri"/>
      <family val="2"/>
      <scheme val="minor"/>
    </font>
  </fonts>
  <fills count="2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CCFF"/>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rgb="FFCBA9E5"/>
        <bgColor indexed="64"/>
      </patternFill>
    </fill>
    <fill>
      <patternFill patternType="solid">
        <fgColor rgb="FFE2CFF1"/>
        <bgColor indexed="64"/>
      </patternFill>
    </fill>
    <fill>
      <patternFill patternType="solid">
        <fgColor theme="0" tint="-4.9989318521683403E-2"/>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style="thick">
        <color theme="0"/>
      </left>
      <right style="thick">
        <color theme="0"/>
      </right>
      <top style="thick">
        <color theme="0"/>
      </top>
      <bottom style="thick">
        <color theme="0"/>
      </bottom>
      <diagonal/>
    </border>
    <border>
      <left style="thick">
        <color theme="0"/>
      </left>
      <right style="thick">
        <color theme="0"/>
      </right>
      <top/>
      <bottom style="thick">
        <color theme="0"/>
      </bottom>
      <diagonal/>
    </border>
    <border>
      <left/>
      <right/>
      <top style="medium">
        <color theme="4" tint="0.59996337778862885"/>
      </top>
      <bottom/>
      <diagonal/>
    </border>
    <border>
      <left style="medium">
        <color indexed="64"/>
      </left>
      <right/>
      <top style="medium">
        <color indexed="64"/>
      </top>
      <bottom style="medium">
        <color indexed="64"/>
      </bottom>
      <diagonal/>
    </border>
    <border>
      <left style="medium">
        <color indexed="64"/>
      </left>
      <right style="thick">
        <color theme="0"/>
      </right>
      <top style="thick">
        <color theme="0"/>
      </top>
      <bottom style="thick">
        <color theme="0"/>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5" fillId="0" borderId="0" applyNumberFormat="0" applyFill="0" applyBorder="0" applyAlignment="0" applyProtection="0"/>
  </cellStyleXfs>
  <cellXfs count="204">
    <xf numFmtId="0" fontId="0" fillId="0" borderId="0" xfId="0"/>
    <xf numFmtId="0" fontId="0" fillId="2" borderId="0" xfId="0" applyFill="1"/>
    <xf numFmtId="0" fontId="0" fillId="2" borderId="0" xfId="0" applyFill="1" applyBorder="1"/>
    <xf numFmtId="0" fontId="0" fillId="4" borderId="0" xfId="0" applyFill="1"/>
    <xf numFmtId="0" fontId="0" fillId="2" borderId="0" xfId="0" applyFill="1" applyAlignment="1">
      <alignment vertical="center"/>
    </xf>
    <xf numFmtId="0" fontId="3" fillId="4" borderId="0" xfId="0" applyFont="1" applyFill="1" applyAlignment="1">
      <alignment horizontal="left" vertical="center" indent="5"/>
    </xf>
    <xf numFmtId="0" fontId="0" fillId="2" borderId="0" xfId="0" applyFill="1"/>
    <xf numFmtId="0" fontId="0" fillId="4" borderId="0" xfId="0" applyFill="1" applyAlignment="1">
      <alignment wrapText="1"/>
    </xf>
    <xf numFmtId="0" fontId="3" fillId="2" borderId="0" xfId="0" applyFont="1" applyFill="1" applyAlignment="1">
      <alignment horizontal="left" vertical="center" indent="5"/>
    </xf>
    <xf numFmtId="0" fontId="0" fillId="4" borderId="0" xfId="0" applyFill="1" applyAlignment="1">
      <alignment vertical="center" wrapText="1"/>
    </xf>
    <xf numFmtId="0" fontId="5" fillId="4" borderId="0" xfId="4" applyFill="1" applyAlignment="1">
      <alignment vertical="center"/>
    </xf>
    <xf numFmtId="0" fontId="0" fillId="2" borderId="0" xfId="0" applyFill="1" applyAlignment="1">
      <alignment horizontal="left" wrapText="1"/>
    </xf>
    <xf numFmtId="0" fontId="0" fillId="4" borderId="0" xfId="0" applyFill="1" applyAlignment="1">
      <alignment vertical="center"/>
    </xf>
    <xf numFmtId="0" fontId="0" fillId="2" borderId="0" xfId="0" applyFill="1" applyAlignment="1">
      <alignment horizontal="right"/>
    </xf>
    <xf numFmtId="0" fontId="8" fillId="2" borderId="0" xfId="0" applyFont="1" applyFill="1" applyAlignment="1">
      <alignment vertical="center"/>
    </xf>
    <xf numFmtId="0" fontId="7" fillId="0" borderId="0" xfId="0" applyFont="1" applyAlignment="1">
      <alignment horizontal="left" vertical="center"/>
    </xf>
    <xf numFmtId="165" fontId="0" fillId="2" borderId="0" xfId="0" applyNumberFormat="1" applyFill="1"/>
    <xf numFmtId="164" fontId="0" fillId="2" borderId="0" xfId="0" applyNumberFormat="1" applyFill="1"/>
    <xf numFmtId="43" fontId="0" fillId="2" borderId="0" xfId="0" applyNumberFormat="1" applyFill="1"/>
    <xf numFmtId="0" fontId="0" fillId="2" borderId="0" xfId="0" applyFill="1" applyBorder="1" applyAlignment="1">
      <alignment vertical="center"/>
    </xf>
    <xf numFmtId="0" fontId="0" fillId="2" borderId="0" xfId="0" applyFill="1" applyBorder="1" applyAlignment="1">
      <alignment horizontal="right" vertical="center"/>
    </xf>
    <xf numFmtId="0" fontId="9" fillId="4" borderId="0" xfId="0" applyFont="1" applyFill="1" applyAlignment="1">
      <alignment vertical="center"/>
    </xf>
    <xf numFmtId="0" fontId="0" fillId="8" borderId="0" xfId="0" applyFill="1"/>
    <xf numFmtId="17" fontId="0" fillId="2" borderId="0" xfId="0" applyNumberFormat="1" applyFill="1" applyAlignment="1">
      <alignment horizontal="right"/>
    </xf>
    <xf numFmtId="0" fontId="12" fillId="2" borderId="0" xfId="0" applyFont="1" applyFill="1" applyAlignment="1">
      <alignment vertical="center"/>
    </xf>
    <xf numFmtId="17" fontId="13" fillId="2" borderId="5" xfId="0" applyNumberFormat="1" applyFont="1" applyFill="1" applyBorder="1" applyAlignment="1">
      <alignment horizontal="left" vertical="top"/>
    </xf>
    <xf numFmtId="0" fontId="0" fillId="2" borderId="6" xfId="0" applyFill="1" applyBorder="1"/>
    <xf numFmtId="0" fontId="0" fillId="2" borderId="6" xfId="0" applyFill="1" applyBorder="1" applyAlignment="1">
      <alignment horizontal="right"/>
    </xf>
    <xf numFmtId="17" fontId="2" fillId="2" borderId="6" xfId="0" applyNumberFormat="1" applyFont="1" applyFill="1" applyBorder="1"/>
    <xf numFmtId="17" fontId="2" fillId="2" borderId="7" xfId="0" applyNumberFormat="1" applyFont="1" applyFill="1" applyBorder="1" applyAlignment="1">
      <alignment horizontal="right"/>
    </xf>
    <xf numFmtId="0" fontId="14" fillId="2" borderId="0" xfId="0" applyFont="1" applyFill="1" applyAlignment="1">
      <alignment horizontal="left" vertical="center" indent="5"/>
    </xf>
    <xf numFmtId="0" fontId="15" fillId="2" borderId="0" xfId="0" applyFont="1" applyFill="1" applyAlignment="1">
      <alignment horizontal="left"/>
    </xf>
    <xf numFmtId="0" fontId="0" fillId="2" borderId="0" xfId="0" applyFill="1" applyAlignment="1">
      <alignment horizontal="right" vertical="center"/>
    </xf>
    <xf numFmtId="165" fontId="0" fillId="7" borderId="8" xfId="1" applyNumberFormat="1" applyFont="1" applyFill="1" applyBorder="1" applyAlignment="1">
      <alignment horizontal="right" vertical="center"/>
    </xf>
    <xf numFmtId="165" fontId="0" fillId="12" borderId="8" xfId="1" applyNumberFormat="1" applyFont="1" applyFill="1" applyBorder="1" applyAlignment="1">
      <alignment horizontal="right" vertical="center"/>
    </xf>
    <xf numFmtId="165" fontId="0" fillId="13" borderId="8" xfId="1" applyNumberFormat="1" applyFont="1" applyFill="1" applyBorder="1" applyAlignment="1">
      <alignment horizontal="right" vertical="center"/>
    </xf>
    <xf numFmtId="165" fontId="0" fillId="5" borderId="8" xfId="1" applyNumberFormat="1" applyFont="1" applyFill="1" applyBorder="1" applyAlignment="1">
      <alignment horizontal="right" vertical="center"/>
    </xf>
    <xf numFmtId="165" fontId="0" fillId="10" borderId="8" xfId="1" applyNumberFormat="1" applyFont="1" applyFill="1" applyBorder="1" applyAlignment="1">
      <alignment horizontal="right" vertical="center"/>
    </xf>
    <xf numFmtId="165" fontId="0" fillId="14" borderId="8" xfId="1" applyNumberFormat="1" applyFont="1" applyFill="1" applyBorder="1" applyAlignment="1">
      <alignment horizontal="right" vertical="center"/>
    </xf>
    <xf numFmtId="165" fontId="0" fillId="3" borderId="8" xfId="1" applyNumberFormat="1" applyFont="1" applyFill="1" applyBorder="1" applyAlignment="1">
      <alignment horizontal="right" vertical="center"/>
    </xf>
    <xf numFmtId="165" fontId="0" fillId="11" borderId="8" xfId="1" applyNumberFormat="1" applyFont="1" applyFill="1" applyBorder="1" applyAlignment="1">
      <alignment horizontal="right" vertical="center"/>
    </xf>
    <xf numFmtId="0" fontId="2" fillId="2" borderId="0" xfId="0" applyFont="1" applyFill="1" applyBorder="1" applyAlignment="1">
      <alignment horizontal="left"/>
    </xf>
    <xf numFmtId="0" fontId="0" fillId="0" borderId="9" xfId="0" applyFill="1" applyBorder="1" applyAlignment="1">
      <alignment horizontal="right" vertical="center"/>
    </xf>
    <xf numFmtId="166" fontId="0" fillId="7" borderId="9" xfId="1" applyNumberFormat="1" applyFont="1" applyFill="1" applyBorder="1" applyAlignment="1">
      <alignment horizontal="center" vertical="center"/>
    </xf>
    <xf numFmtId="166" fontId="0" fillId="12" borderId="9" xfId="1" applyNumberFormat="1" applyFont="1" applyFill="1" applyBorder="1" applyAlignment="1">
      <alignment horizontal="center" vertical="center"/>
    </xf>
    <xf numFmtId="166" fontId="0" fillId="13" borderId="9" xfId="1" applyNumberFormat="1" applyFont="1" applyFill="1" applyBorder="1" applyAlignment="1">
      <alignment horizontal="center" vertical="center"/>
    </xf>
    <xf numFmtId="166" fontId="0" fillId="5" borderId="9" xfId="1" applyNumberFormat="1" applyFont="1" applyFill="1" applyBorder="1" applyAlignment="1">
      <alignment horizontal="center" vertical="center"/>
    </xf>
    <xf numFmtId="166" fontId="0" fillId="10" borderId="9" xfId="1" applyNumberFormat="1" applyFont="1" applyFill="1" applyBorder="1" applyAlignment="1">
      <alignment horizontal="center" vertical="center"/>
    </xf>
    <xf numFmtId="166" fontId="0" fillId="14" borderId="9" xfId="1" applyNumberFormat="1" applyFont="1" applyFill="1" applyBorder="1" applyAlignment="1">
      <alignment horizontal="center" vertical="center"/>
    </xf>
    <xf numFmtId="166" fontId="0" fillId="3" borderId="9" xfId="1" applyNumberFormat="1" applyFont="1" applyFill="1" applyBorder="1" applyAlignment="1">
      <alignment horizontal="center" vertical="center"/>
    </xf>
    <xf numFmtId="166" fontId="0" fillId="11" borderId="8" xfId="1" applyNumberFormat="1" applyFont="1" applyFill="1" applyBorder="1" applyAlignment="1">
      <alignment horizontal="center" vertical="center"/>
    </xf>
    <xf numFmtId="166" fontId="0" fillId="7" borderId="8" xfId="1" applyNumberFormat="1" applyFont="1" applyFill="1" applyBorder="1" applyAlignment="1">
      <alignment horizontal="center" vertical="center"/>
    </xf>
    <xf numFmtId="166" fontId="0" fillId="12" borderId="8" xfId="1" applyNumberFormat="1" applyFont="1" applyFill="1" applyBorder="1" applyAlignment="1">
      <alignment horizontal="center" vertical="center"/>
    </xf>
    <xf numFmtId="166" fontId="0" fillId="13" borderId="8" xfId="1" applyNumberFormat="1" applyFont="1" applyFill="1" applyBorder="1" applyAlignment="1">
      <alignment horizontal="center" vertical="center"/>
    </xf>
    <xf numFmtId="166" fontId="0" fillId="5" borderId="8" xfId="1" applyNumberFormat="1" applyFont="1" applyFill="1" applyBorder="1" applyAlignment="1">
      <alignment horizontal="center" vertical="center"/>
    </xf>
    <xf numFmtId="166" fontId="0" fillId="10" borderId="8" xfId="1" applyNumberFormat="1" applyFont="1" applyFill="1" applyBorder="1" applyAlignment="1">
      <alignment horizontal="center" vertical="center"/>
    </xf>
    <xf numFmtId="166" fontId="0" fillId="14" borderId="8" xfId="1" applyNumberFormat="1" applyFont="1" applyFill="1" applyBorder="1" applyAlignment="1">
      <alignment horizontal="center" vertical="center"/>
    </xf>
    <xf numFmtId="166" fontId="0" fillId="3" borderId="8" xfId="1" applyNumberFormat="1" applyFont="1" applyFill="1" applyBorder="1" applyAlignment="1">
      <alignment horizontal="center" vertical="center"/>
    </xf>
    <xf numFmtId="0" fontId="4" fillId="2" borderId="0" xfId="0" applyFont="1" applyFill="1" applyAlignment="1">
      <alignment vertical="center"/>
    </xf>
    <xf numFmtId="0" fontId="10" fillId="2" borderId="0" xfId="0" applyFont="1" applyFill="1"/>
    <xf numFmtId="0" fontId="0" fillId="0" borderId="8" xfId="0" applyFill="1" applyBorder="1" applyAlignment="1">
      <alignment horizontal="right" vertical="center"/>
    </xf>
    <xf numFmtId="166" fontId="0" fillId="0" borderId="8" xfId="1" applyNumberFormat="1" applyFont="1" applyFill="1" applyBorder="1" applyAlignment="1">
      <alignment horizontal="center" vertical="center"/>
    </xf>
    <xf numFmtId="164" fontId="0" fillId="0" borderId="8" xfId="0" applyNumberFormat="1" applyFill="1" applyBorder="1" applyAlignment="1">
      <alignment horizontal="center" vertical="center"/>
    </xf>
    <xf numFmtId="164" fontId="0" fillId="7" borderId="8" xfId="0" applyNumberFormat="1" applyFill="1" applyBorder="1" applyAlignment="1">
      <alignment horizontal="center" vertical="center"/>
    </xf>
    <xf numFmtId="164" fontId="0" fillId="12" borderId="8" xfId="0" applyNumberFormat="1" applyFill="1" applyBorder="1" applyAlignment="1">
      <alignment horizontal="center" vertical="center"/>
    </xf>
    <xf numFmtId="164" fontId="0" fillId="13" borderId="8" xfId="0" applyNumberFormat="1" applyFill="1" applyBorder="1" applyAlignment="1">
      <alignment horizontal="center" vertical="center"/>
    </xf>
    <xf numFmtId="164" fontId="0" fillId="5" borderId="8" xfId="0" applyNumberFormat="1" applyFill="1" applyBorder="1" applyAlignment="1">
      <alignment horizontal="center" vertical="center"/>
    </xf>
    <xf numFmtId="164" fontId="0" fillId="10" borderId="8" xfId="0" applyNumberFormat="1" applyFill="1" applyBorder="1" applyAlignment="1">
      <alignment horizontal="center" vertical="center"/>
    </xf>
    <xf numFmtId="164" fontId="0" fillId="14" borderId="8" xfId="0" applyNumberFormat="1" applyFill="1" applyBorder="1" applyAlignment="1">
      <alignment horizontal="center" vertical="center"/>
    </xf>
    <xf numFmtId="164" fontId="0" fillId="3" borderId="8" xfId="0" applyNumberFormat="1" applyFill="1" applyBorder="1" applyAlignment="1">
      <alignment horizontal="center" vertical="center"/>
    </xf>
    <xf numFmtId="164" fontId="0" fillId="11" borderId="8" xfId="0" applyNumberFormat="1" applyFill="1" applyBorder="1" applyAlignment="1">
      <alignment horizontal="center" vertical="center"/>
    </xf>
    <xf numFmtId="0" fontId="16" fillId="2" borderId="0" xfId="0" applyFont="1" applyFill="1" applyAlignment="1">
      <alignment horizontal="left" vertical="center" indent="5"/>
    </xf>
    <xf numFmtId="0" fontId="10" fillId="2" borderId="0" xfId="0" applyFont="1" applyFill="1" applyAlignment="1">
      <alignment horizontal="right"/>
    </xf>
    <xf numFmtId="0" fontId="0" fillId="0" borderId="8" xfId="0" applyFill="1" applyBorder="1" applyAlignment="1">
      <alignment horizontal="center" vertical="center"/>
    </xf>
    <xf numFmtId="164" fontId="0" fillId="0" borderId="8" xfId="0" applyNumberFormat="1" applyFill="1" applyBorder="1" applyAlignment="1">
      <alignment horizontal="right" vertical="center"/>
    </xf>
    <xf numFmtId="0" fontId="2" fillId="2" borderId="0" xfId="0" applyFont="1" applyFill="1" applyBorder="1" applyAlignment="1">
      <alignment horizontal="right" vertical="center"/>
    </xf>
    <xf numFmtId="164" fontId="2" fillId="2" borderId="8" xfId="0" applyNumberFormat="1" applyFont="1" applyFill="1" applyBorder="1" applyAlignment="1">
      <alignment horizontal="right" vertical="center"/>
    </xf>
    <xf numFmtId="164" fontId="2" fillId="2" borderId="8" xfId="0" applyNumberFormat="1" applyFont="1" applyFill="1" applyBorder="1" applyAlignment="1">
      <alignment horizontal="center" vertical="center"/>
    </xf>
    <xf numFmtId="0" fontId="0" fillId="2" borderId="0" xfId="0" applyFill="1" applyBorder="1" applyAlignment="1">
      <alignment horizontal="left"/>
    </xf>
    <xf numFmtId="0" fontId="6" fillId="2" borderId="0" xfId="0" applyFont="1" applyFill="1" applyBorder="1" applyAlignment="1">
      <alignment horizontal="right"/>
    </xf>
    <xf numFmtId="164" fontId="6" fillId="2" borderId="0" xfId="0" applyNumberFormat="1" applyFont="1" applyFill="1" applyBorder="1"/>
    <xf numFmtId="0" fontId="6" fillId="2" borderId="0" xfId="0" applyFont="1" applyFill="1" applyAlignment="1">
      <alignment horizontal="right" vertical="center"/>
    </xf>
    <xf numFmtId="0" fontId="6" fillId="2" borderId="0" xfId="0" applyFont="1" applyFill="1" applyAlignment="1">
      <alignment horizontal="right"/>
    </xf>
    <xf numFmtId="0" fontId="2" fillId="9" borderId="0" xfId="0" applyFont="1" applyFill="1"/>
    <xf numFmtId="0" fontId="0" fillId="9" borderId="0" xfId="0" applyFill="1"/>
    <xf numFmtId="17" fontId="6" fillId="2" borderId="0" xfId="0" applyNumberFormat="1" applyFont="1" applyFill="1"/>
    <xf numFmtId="165" fontId="6" fillId="2" borderId="0" xfId="0" applyNumberFormat="1" applyFont="1" applyFill="1"/>
    <xf numFmtId="0" fontId="6" fillId="2" borderId="0" xfId="0" applyFont="1" applyFill="1" applyAlignment="1">
      <alignment horizontal="left"/>
    </xf>
    <xf numFmtId="0" fontId="0" fillId="9" borderId="0" xfId="0" applyFill="1" applyAlignment="1">
      <alignment horizontal="right"/>
    </xf>
    <xf numFmtId="0" fontId="0" fillId="10" borderId="0" xfId="0" applyFill="1" applyAlignment="1">
      <alignment horizontal="right" vertical="center"/>
    </xf>
    <xf numFmtId="164" fontId="0" fillId="10" borderId="0" xfId="0" applyNumberFormat="1" applyFill="1" applyAlignment="1">
      <alignment horizontal="right" vertical="center"/>
    </xf>
    <xf numFmtId="0" fontId="6" fillId="2" borderId="0" xfId="0" applyFont="1" applyFill="1"/>
    <xf numFmtId="166" fontId="0" fillId="2" borderId="0" xfId="0" applyNumberFormat="1" applyFill="1" applyAlignment="1">
      <alignment horizontal="right" vertical="center"/>
    </xf>
    <xf numFmtId="0" fontId="6" fillId="2" borderId="0" xfId="0" applyFont="1" applyFill="1" applyBorder="1"/>
    <xf numFmtId="164" fontId="6" fillId="2" borderId="0" xfId="0" applyNumberFormat="1" applyFont="1" applyFill="1"/>
    <xf numFmtId="0" fontId="0" fillId="2" borderId="0" xfId="0" applyFill="1" applyBorder="1" applyAlignment="1">
      <alignment horizontal="right"/>
    </xf>
    <xf numFmtId="43" fontId="0" fillId="2" borderId="0" xfId="1" applyFont="1" applyFill="1" applyBorder="1"/>
    <xf numFmtId="165" fontId="0" fillId="7" borderId="8" xfId="0" applyNumberFormat="1" applyFill="1" applyBorder="1" applyAlignment="1">
      <alignment horizontal="center" vertical="center"/>
    </xf>
    <xf numFmtId="165" fontId="0" fillId="12" borderId="8" xfId="0" applyNumberFormat="1" applyFill="1" applyBorder="1" applyAlignment="1">
      <alignment horizontal="center" vertical="center"/>
    </xf>
    <xf numFmtId="165" fontId="0" fillId="13" borderId="8" xfId="0" applyNumberFormat="1" applyFill="1" applyBorder="1" applyAlignment="1">
      <alignment horizontal="center" vertical="center"/>
    </xf>
    <xf numFmtId="165" fontId="0" fillId="5" borderId="8" xfId="0" applyNumberFormat="1" applyFill="1" applyBorder="1" applyAlignment="1">
      <alignment horizontal="center" vertical="center"/>
    </xf>
    <xf numFmtId="165" fontId="0" fillId="10" borderId="8" xfId="0" applyNumberFormat="1" applyFill="1" applyBorder="1" applyAlignment="1">
      <alignment horizontal="center" vertical="center"/>
    </xf>
    <xf numFmtId="165" fontId="0" fillId="14" borderId="8" xfId="0" applyNumberFormat="1" applyFill="1" applyBorder="1" applyAlignment="1">
      <alignment horizontal="center" vertical="center"/>
    </xf>
    <xf numFmtId="165" fontId="0" fillId="3" borderId="8" xfId="0" applyNumberFormat="1" applyFill="1" applyBorder="1" applyAlignment="1">
      <alignment horizontal="center" vertical="center"/>
    </xf>
    <xf numFmtId="165" fontId="0" fillId="11" borderId="8" xfId="0" applyNumberFormat="1" applyFill="1" applyBorder="1" applyAlignment="1">
      <alignment horizontal="center" vertical="center"/>
    </xf>
    <xf numFmtId="164" fontId="0" fillId="2" borderId="0" xfId="0" applyNumberFormat="1" applyFill="1" applyAlignment="1">
      <alignment horizontal="right"/>
    </xf>
    <xf numFmtId="9" fontId="0" fillId="2" borderId="0" xfId="2" applyFont="1" applyFill="1" applyAlignment="1">
      <alignment horizontal="right"/>
    </xf>
    <xf numFmtId="165" fontId="0" fillId="2" borderId="0" xfId="0" applyNumberFormat="1" applyFill="1" applyAlignment="1">
      <alignment horizontal="right" vertical="center"/>
    </xf>
    <xf numFmtId="0" fontId="0" fillId="2" borderId="0" xfId="0" applyFill="1" applyAlignment="1">
      <alignment horizontal="left" vertical="center"/>
    </xf>
    <xf numFmtId="169" fontId="0" fillId="2" borderId="0" xfId="0" applyNumberFormat="1" applyFill="1" applyAlignment="1">
      <alignment horizontal="right" vertical="center"/>
    </xf>
    <xf numFmtId="17" fontId="6" fillId="2" borderId="0" xfId="0" applyNumberFormat="1" applyFont="1" applyFill="1" applyBorder="1"/>
    <xf numFmtId="165" fontId="6" fillId="2" borderId="0" xfId="0" applyNumberFormat="1" applyFont="1" applyFill="1" applyBorder="1"/>
    <xf numFmtId="167" fontId="18" fillId="2" borderId="0" xfId="0" applyNumberFormat="1" applyFont="1" applyFill="1" applyBorder="1" applyAlignment="1">
      <alignment horizontal="center"/>
    </xf>
    <xf numFmtId="0" fontId="18" fillId="2" borderId="0" xfId="0" applyFont="1" applyFill="1" applyBorder="1"/>
    <xf numFmtId="167" fontId="0" fillId="2" borderId="0" xfId="0" applyNumberFormat="1" applyFill="1"/>
    <xf numFmtId="170" fontId="0" fillId="2" borderId="0" xfId="0" applyNumberFormat="1" applyFill="1"/>
    <xf numFmtId="0" fontId="2" fillId="6" borderId="0" xfId="0" applyFont="1" applyFill="1" applyAlignment="1">
      <alignment horizontal="left" vertical="center"/>
    </xf>
    <xf numFmtId="0" fontId="0" fillId="6" borderId="0" xfId="0" applyFill="1" applyAlignment="1">
      <alignment horizontal="right" vertical="center"/>
    </xf>
    <xf numFmtId="164" fontId="0" fillId="5" borderId="0" xfId="0" applyNumberFormat="1" applyFill="1" applyAlignment="1">
      <alignment horizontal="right" vertical="center"/>
    </xf>
    <xf numFmtId="165" fontId="0" fillId="5" borderId="0" xfId="0" applyNumberFormat="1" applyFill="1" applyAlignment="1">
      <alignment horizontal="right" vertical="center"/>
    </xf>
    <xf numFmtId="0" fontId="2" fillId="15" borderId="0" xfId="0" applyFont="1" applyFill="1" applyAlignment="1">
      <alignment horizontal="left" vertical="center"/>
    </xf>
    <xf numFmtId="0" fontId="0" fillId="15" borderId="0" xfId="0" applyFill="1" applyAlignment="1">
      <alignment horizontal="right" vertical="center"/>
    </xf>
    <xf numFmtId="164" fontId="0" fillId="12" borderId="0" xfId="0" applyNumberFormat="1" applyFill="1" applyAlignment="1">
      <alignment horizontal="right" vertical="center"/>
    </xf>
    <xf numFmtId="166" fontId="0" fillId="12" borderId="0" xfId="1" applyNumberFormat="1" applyFont="1" applyFill="1" applyAlignment="1">
      <alignment horizontal="right" vertical="center"/>
    </xf>
    <xf numFmtId="165" fontId="0" fillId="12" borderId="0" xfId="0" applyNumberFormat="1" applyFill="1" applyAlignment="1">
      <alignment horizontal="right" vertical="center"/>
    </xf>
    <xf numFmtId="0" fontId="0" fillId="15" borderId="0" xfId="0" applyFill="1"/>
    <xf numFmtId="0" fontId="0" fillId="15" borderId="0" xfId="0" applyFill="1" applyAlignment="1">
      <alignment horizontal="right"/>
    </xf>
    <xf numFmtId="165" fontId="0" fillId="12" borderId="0" xfId="0" applyNumberFormat="1" applyFill="1"/>
    <xf numFmtId="164" fontId="0" fillId="12" borderId="0" xfId="0" applyNumberFormat="1" applyFill="1"/>
    <xf numFmtId="168" fontId="0" fillId="12" borderId="0" xfId="0" applyNumberFormat="1" applyFill="1"/>
    <xf numFmtId="0" fontId="2" fillId="15" borderId="0" xfId="0" applyFont="1" applyFill="1"/>
    <xf numFmtId="167" fontId="0" fillId="12" borderId="0" xfId="0" applyNumberFormat="1" applyFill="1"/>
    <xf numFmtId="166" fontId="0" fillId="2" borderId="0" xfId="1" applyNumberFormat="1" applyFont="1" applyFill="1"/>
    <xf numFmtId="17" fontId="0" fillId="2" borderId="0" xfId="0" applyNumberFormat="1" applyFill="1"/>
    <xf numFmtId="0" fontId="0" fillId="15" borderId="0" xfId="0" applyFill="1" applyAlignment="1">
      <alignment horizontal="left" vertical="center"/>
    </xf>
    <xf numFmtId="0" fontId="2" fillId="8" borderId="0" xfId="0" applyFont="1" applyFill="1"/>
    <xf numFmtId="0" fontId="0" fillId="8" borderId="0" xfId="0" applyFill="1" applyAlignment="1">
      <alignment horizontal="right"/>
    </xf>
    <xf numFmtId="0" fontId="0" fillId="7" borderId="0" xfId="0" applyFill="1"/>
    <xf numFmtId="164" fontId="0" fillId="7" borderId="0" xfId="0" applyNumberFormat="1" applyFill="1"/>
    <xf numFmtId="0" fontId="2" fillId="8" borderId="10" xfId="0" applyFont="1" applyFill="1" applyBorder="1"/>
    <xf numFmtId="0" fontId="0" fillId="8" borderId="10" xfId="0" applyFill="1" applyBorder="1"/>
    <xf numFmtId="0" fontId="0" fillId="2" borderId="0" xfId="0" applyFill="1" applyAlignment="1">
      <alignment wrapText="1"/>
    </xf>
    <xf numFmtId="0" fontId="0" fillId="16" borderId="0" xfId="0" applyFill="1"/>
    <xf numFmtId="0" fontId="0" fillId="16" borderId="0" xfId="0" applyFill="1" applyAlignment="1">
      <alignment horizontal="right"/>
    </xf>
    <xf numFmtId="165" fontId="0" fillId="5" borderId="0" xfId="0" applyNumberFormat="1" applyFill="1"/>
    <xf numFmtId="0" fontId="0" fillId="5" borderId="0" xfId="0" applyFill="1"/>
    <xf numFmtId="0" fontId="0" fillId="8" borderId="10" xfId="0" applyFill="1" applyBorder="1" applyAlignment="1">
      <alignment horizontal="right"/>
    </xf>
    <xf numFmtId="1" fontId="0" fillId="7" borderId="0" xfId="0" applyNumberFormat="1" applyFill="1" applyAlignment="1">
      <alignment horizontal="right"/>
    </xf>
    <xf numFmtId="1" fontId="0" fillId="7" borderId="0" xfId="0" applyNumberFormat="1" applyFill="1"/>
    <xf numFmtId="0" fontId="0" fillId="7" borderId="0" xfId="0" applyFill="1" applyAlignment="1">
      <alignment horizontal="right"/>
    </xf>
    <xf numFmtId="0" fontId="0" fillId="2" borderId="0" xfId="0" applyFill="1" applyAlignment="1"/>
    <xf numFmtId="171" fontId="0" fillId="5" borderId="0" xfId="0" applyNumberFormat="1" applyFill="1"/>
    <xf numFmtId="166" fontId="0" fillId="11" borderId="9" xfId="1" applyNumberFormat="1" applyFont="1" applyFill="1" applyBorder="1" applyAlignment="1">
      <alignment horizontal="center" vertical="center"/>
    </xf>
    <xf numFmtId="165" fontId="0" fillId="11" borderId="1" xfId="1" applyNumberFormat="1" applyFont="1" applyFill="1" applyBorder="1" applyAlignment="1" applyProtection="1">
      <alignment horizontal="right" vertical="center"/>
      <protection locked="0"/>
    </xf>
    <xf numFmtId="165" fontId="0" fillId="7" borderId="1" xfId="1" applyNumberFormat="1" applyFont="1" applyFill="1" applyBorder="1" applyAlignment="1" applyProtection="1">
      <alignment horizontal="right" vertical="center"/>
      <protection locked="0"/>
    </xf>
    <xf numFmtId="165" fontId="0" fillId="12" borderId="1" xfId="1" applyNumberFormat="1" applyFont="1" applyFill="1" applyBorder="1" applyAlignment="1" applyProtection="1">
      <alignment horizontal="right" vertical="center"/>
      <protection locked="0"/>
    </xf>
    <xf numFmtId="165" fontId="0" fillId="13" borderId="1" xfId="1" applyNumberFormat="1" applyFont="1" applyFill="1" applyBorder="1" applyAlignment="1" applyProtection="1">
      <alignment horizontal="right" vertical="center"/>
      <protection locked="0"/>
    </xf>
    <xf numFmtId="165" fontId="0" fillId="5" borderId="1" xfId="1" applyNumberFormat="1" applyFont="1" applyFill="1" applyBorder="1" applyAlignment="1" applyProtection="1">
      <alignment horizontal="right" vertical="center"/>
      <protection locked="0"/>
    </xf>
    <xf numFmtId="165" fontId="0" fillId="10" borderId="1" xfId="1" applyNumberFormat="1" applyFont="1" applyFill="1" applyBorder="1" applyAlignment="1" applyProtection="1">
      <alignment horizontal="right" vertical="center"/>
      <protection locked="0"/>
    </xf>
    <xf numFmtId="165" fontId="0" fillId="14" borderId="1" xfId="1" applyNumberFormat="1" applyFont="1" applyFill="1" applyBorder="1" applyAlignment="1" applyProtection="1">
      <alignment horizontal="right" vertical="center"/>
      <protection locked="0"/>
    </xf>
    <xf numFmtId="165" fontId="0" fillId="3" borderId="1" xfId="1" applyNumberFormat="1" applyFont="1" applyFill="1" applyBorder="1" applyAlignment="1" applyProtection="1">
      <alignment horizontal="right" vertical="center"/>
      <protection locked="0"/>
    </xf>
    <xf numFmtId="0" fontId="0" fillId="17" borderId="0" xfId="0" applyFill="1" applyAlignment="1">
      <alignment vertical="center"/>
    </xf>
    <xf numFmtId="0" fontId="0" fillId="17" borderId="0" xfId="0" applyFill="1" applyAlignment="1">
      <alignment horizontal="right" vertical="center"/>
    </xf>
    <xf numFmtId="164" fontId="0" fillId="18" borderId="0" xfId="0" applyNumberFormat="1" applyFill="1" applyAlignment="1">
      <alignment horizontal="right" vertical="center"/>
    </xf>
    <xf numFmtId="166" fontId="0" fillId="12" borderId="0" xfId="1" applyNumberFormat="1" applyFont="1" applyFill="1"/>
    <xf numFmtId="0" fontId="2" fillId="17" borderId="0" xfId="0" applyFont="1" applyFill="1" applyAlignment="1">
      <alignment vertical="center"/>
    </xf>
    <xf numFmtId="0" fontId="0" fillId="2" borderId="0" xfId="0" applyFill="1" applyAlignment="1">
      <alignment horizontal="left"/>
    </xf>
    <xf numFmtId="17" fontId="0" fillId="4" borderId="0" xfId="0" applyNumberFormat="1" applyFill="1" applyBorder="1" applyAlignment="1">
      <alignment horizontal="center"/>
    </xf>
    <xf numFmtId="165" fontId="0" fillId="11" borderId="11" xfId="1" applyNumberFormat="1" applyFont="1" applyFill="1" applyBorder="1" applyAlignment="1" applyProtection="1">
      <alignment horizontal="right" vertical="center"/>
      <protection locked="0"/>
    </xf>
    <xf numFmtId="165" fontId="0" fillId="7" borderId="12" xfId="1" applyNumberFormat="1" applyFont="1" applyFill="1" applyBorder="1" applyAlignment="1">
      <alignment horizontal="right" vertical="center"/>
    </xf>
    <xf numFmtId="17" fontId="11" fillId="2" borderId="0" xfId="0" applyNumberFormat="1" applyFont="1" applyFill="1" applyAlignment="1">
      <alignment horizontal="right" vertical="center"/>
    </xf>
    <xf numFmtId="17" fontId="0" fillId="2" borderId="0" xfId="0" applyNumberFormat="1" applyFill="1" applyAlignment="1">
      <alignment horizontal="right" vertical="center"/>
    </xf>
    <xf numFmtId="0" fontId="21" fillId="2" borderId="0" xfId="0" applyFont="1" applyFill="1" applyAlignment="1">
      <alignment horizontal="left"/>
    </xf>
    <xf numFmtId="49" fontId="22" fillId="2" borderId="0" xfId="0" applyNumberFormat="1" applyFont="1" applyFill="1"/>
    <xf numFmtId="0" fontId="24" fillId="3" borderId="0" xfId="0" applyFont="1" applyFill="1" applyAlignment="1">
      <alignment horizontal="right" wrapText="1"/>
    </xf>
    <xf numFmtId="0" fontId="24" fillId="2" borderId="1" xfId="0" applyFont="1" applyFill="1" applyBorder="1" applyAlignment="1">
      <alignment horizontal="right" wrapText="1"/>
    </xf>
    <xf numFmtId="166" fontId="24" fillId="19" borderId="0" xfId="1" applyNumberFormat="1" applyFont="1" applyFill="1" applyAlignment="1">
      <alignment horizontal="right"/>
    </xf>
    <xf numFmtId="164" fontId="24" fillId="19" borderId="0" xfId="0" applyNumberFormat="1" applyFont="1" applyFill="1"/>
    <xf numFmtId="164" fontId="24" fillId="2" borderId="13" xfId="0" applyNumberFormat="1" applyFont="1" applyFill="1" applyBorder="1"/>
    <xf numFmtId="165" fontId="24" fillId="2" borderId="13" xfId="2" applyNumberFormat="1" applyFont="1" applyFill="1" applyBorder="1"/>
    <xf numFmtId="164" fontId="24" fillId="2" borderId="14" xfId="0" applyNumberFormat="1" applyFont="1" applyFill="1" applyBorder="1"/>
    <xf numFmtId="165" fontId="24" fillId="2" borderId="14" xfId="2" applyNumberFormat="1" applyFont="1" applyFill="1" applyBorder="1"/>
    <xf numFmtId="0" fontId="25" fillId="2" borderId="0" xfId="0" applyFont="1" applyFill="1" applyBorder="1"/>
    <xf numFmtId="0" fontId="24" fillId="2" borderId="0" xfId="0" applyFont="1" applyFill="1" applyBorder="1" applyAlignment="1">
      <alignment horizontal="right" wrapText="1"/>
    </xf>
    <xf numFmtId="165" fontId="24" fillId="2" borderId="13" xfId="0" applyNumberFormat="1" applyFont="1" applyFill="1" applyBorder="1"/>
    <xf numFmtId="165" fontId="24" fillId="2" borderId="0" xfId="0" applyNumberFormat="1" applyFont="1" applyFill="1" applyBorder="1"/>
    <xf numFmtId="165" fontId="24" fillId="2" borderId="14" xfId="0" applyNumberFormat="1" applyFont="1" applyFill="1" applyBorder="1"/>
    <xf numFmtId="1" fontId="0" fillId="2" borderId="0" xfId="0" applyNumberFormat="1" applyFill="1"/>
    <xf numFmtId="2" fontId="0" fillId="2" borderId="0" xfId="0" applyNumberFormat="1" applyFill="1"/>
    <xf numFmtId="165" fontId="2" fillId="2" borderId="0" xfId="0" applyNumberFormat="1" applyFont="1" applyFill="1"/>
    <xf numFmtId="164" fontId="24" fillId="2" borderId="0" xfId="0" applyNumberFormat="1" applyFont="1" applyFill="1"/>
    <xf numFmtId="166" fontId="2" fillId="12" borderId="1" xfId="1" applyNumberFormat="1" applyFont="1" applyFill="1" applyBorder="1" applyAlignment="1" applyProtection="1">
      <alignment horizontal="right" vertical="center"/>
      <protection locked="0"/>
    </xf>
    <xf numFmtId="0" fontId="0" fillId="4" borderId="0" xfId="0" applyFill="1" applyAlignment="1">
      <alignment horizontal="left" vertical="center" wrapText="1"/>
    </xf>
    <xf numFmtId="167" fontId="17" fillId="2" borderId="0" xfId="0" applyNumberFormat="1" applyFont="1" applyFill="1" applyAlignment="1">
      <alignment horizontal="center" vertical="center"/>
    </xf>
    <xf numFmtId="0" fontId="17" fillId="2" borderId="0" xfId="0" applyFont="1" applyFill="1" applyAlignment="1">
      <alignment horizontal="left" vertical="center"/>
    </xf>
    <xf numFmtId="0" fontId="0" fillId="8" borderId="0" xfId="0" applyFill="1" applyAlignment="1">
      <alignment horizontal="right" wrapText="1"/>
    </xf>
    <xf numFmtId="0" fontId="0" fillId="9" borderId="0" xfId="0" applyFill="1" applyAlignment="1">
      <alignment horizontal="right" wrapText="1"/>
    </xf>
    <xf numFmtId="0" fontId="0" fillId="3" borderId="0" xfId="0" applyFill="1" applyAlignment="1">
      <alignment horizontal="left" wrapText="1"/>
    </xf>
    <xf numFmtId="0" fontId="0" fillId="3" borderId="0" xfId="0" applyFill="1" applyAlignment="1">
      <alignment wrapText="1"/>
    </xf>
    <xf numFmtId="0" fontId="2" fillId="3" borderId="0" xfId="0" applyFont="1" applyFill="1" applyAlignment="1">
      <alignment horizontal="left"/>
    </xf>
    <xf numFmtId="17" fontId="0" fillId="4" borderId="2" xfId="0" applyNumberFormat="1" applyFill="1" applyBorder="1" applyAlignment="1">
      <alignment horizontal="center"/>
    </xf>
    <xf numFmtId="17" fontId="0" fillId="4" borderId="3" xfId="0" applyNumberFormat="1" applyFill="1" applyBorder="1" applyAlignment="1">
      <alignment horizontal="center"/>
    </xf>
    <xf numFmtId="17" fontId="0" fillId="4" borderId="4" xfId="0" applyNumberFormat="1" applyFill="1" applyBorder="1" applyAlignment="1">
      <alignment horizontal="center"/>
    </xf>
    <xf numFmtId="0" fontId="23" fillId="2" borderId="0" xfId="0" applyFont="1" applyFill="1" applyBorder="1" applyAlignment="1">
      <alignment horizontal="left" wrapText="1"/>
    </xf>
  </cellXfs>
  <cellStyles count="5">
    <cellStyle name="Comma" xfId="1" builtinId="3"/>
    <cellStyle name="Comma 2" xfId="3"/>
    <cellStyle name="Hyperlink" xfId="4" builtinId="8"/>
    <cellStyle name="Normal" xfId="0" builtinId="0"/>
    <cellStyle name="Percent" xfId="2" builtinId="5"/>
  </cellStyles>
  <dxfs count="0"/>
  <tableStyles count="0" defaultTableStyle="TableStyleMedium2" defaultPivotStyle="PivotStyleLight16"/>
  <colors>
    <mruColors>
      <color rgb="FFCBA9E5"/>
      <color rgb="FFE2CFF1"/>
      <color rgb="FFFFCCCC"/>
      <color rgb="FFFF7C80"/>
      <color rgb="FFFF1D1D"/>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Cashflow series</a:t>
            </a:r>
          </a:p>
          <a:p>
            <a:pPr>
              <a:defRPr/>
            </a:pP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Cashflow!$D$38</c:f>
              <c:strCache>
                <c:ptCount val="1"/>
                <c:pt idx="0">
                  <c:v>Percentage change</c:v>
                </c:pt>
              </c:strCache>
            </c:strRef>
          </c:tx>
          <c:spPr>
            <a:ln w="28575" cap="rnd">
              <a:solidFill>
                <a:schemeClr val="accent2"/>
              </a:solidFill>
              <a:round/>
            </a:ln>
            <a:effectLst/>
          </c:spPr>
          <c:marker>
            <c:symbol val="none"/>
          </c:marker>
          <c:cat>
            <c:numRef>
              <c:f>Cashflow!$H$36:$AH$36</c:f>
              <c:numCache>
                <c:formatCode>mmm\-yy</c:formatCode>
                <c:ptCount val="2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numCache>
            </c:numRef>
          </c:cat>
          <c:val>
            <c:numRef>
              <c:f>Cashflow!$H$38:$AH$38</c:f>
              <c:numCache>
                <c:formatCode>0%</c:formatCode>
                <c:ptCount val="27"/>
                <c:pt idx="0">
                  <c:v>0.96238244514106586</c:v>
                </c:pt>
                <c:pt idx="1">
                  <c:v>0.97492163009404365</c:v>
                </c:pt>
                <c:pt idx="2">
                  <c:v>0.97805642633228829</c:v>
                </c:pt>
                <c:pt idx="3">
                  <c:v>0.97805642633228829</c:v>
                </c:pt>
                <c:pt idx="4">
                  <c:v>0.97596656217345878</c:v>
                </c:pt>
                <c:pt idx="5">
                  <c:v>0.94775339602925834</c:v>
                </c:pt>
                <c:pt idx="6">
                  <c:v>0.96656217345872508</c:v>
                </c:pt>
                <c:pt idx="7">
                  <c:v>0.93939393939393923</c:v>
                </c:pt>
                <c:pt idx="8">
                  <c:v>0.96238244514106597</c:v>
                </c:pt>
                <c:pt idx="9">
                  <c:v>0.96546246214213782</c:v>
                </c:pt>
                <c:pt idx="10">
                  <c:v>0.95950560035419685</c:v>
                </c:pt>
                <c:pt idx="11">
                  <c:v>0.88957240776998703</c:v>
                </c:pt>
                <c:pt idx="12">
                  <c:v>0.90908211491377466</c:v>
                </c:pt>
                <c:pt idx="13">
                  <c:v>0.92270909771029108</c:v>
                </c:pt>
                <c:pt idx="14">
                  <c:v>0.91227016912650138</c:v>
                </c:pt>
                <c:pt idx="15">
                  <c:v>0.9182145473156641</c:v>
                </c:pt>
                <c:pt idx="16">
                  <c:v>0.91714296876249901</c:v>
                </c:pt>
                <c:pt idx="17">
                  <c:v>0.91714296876249901</c:v>
                </c:pt>
                <c:pt idx="18">
                  <c:v>0.91714296876249901</c:v>
                </c:pt>
                <c:pt idx="19">
                  <c:v>0.88096381620163422</c:v>
                </c:pt>
                <c:pt idx="20">
                  <c:v>0.89905339248206662</c:v>
                </c:pt>
                <c:pt idx="21">
                  <c:v>0.89905339248206662</c:v>
                </c:pt>
                <c:pt idx="22">
                  <c:v>0.89905339248206662</c:v>
                </c:pt>
                <c:pt idx="23">
                  <c:v>0.89905339248206662</c:v>
                </c:pt>
                <c:pt idx="24">
                  <c:v>0.89905339248206662</c:v>
                </c:pt>
                <c:pt idx="25">
                  <c:v>0.89905339248206662</c:v>
                </c:pt>
                <c:pt idx="26">
                  <c:v>0.89905339248206662</c:v>
                </c:pt>
              </c:numCache>
            </c:numRef>
          </c:val>
          <c:smooth val="0"/>
          <c:extLst>
            <c:ext xmlns:c16="http://schemas.microsoft.com/office/drawing/2014/chart" uri="{C3380CC4-5D6E-409C-BE32-E72D297353CC}">
              <c16:uniqueId val="{00000000-C3F5-4E4D-B0B2-86183991F693}"/>
            </c:ext>
          </c:extLst>
        </c:ser>
        <c:dLbls>
          <c:showLegendKey val="0"/>
          <c:showVal val="0"/>
          <c:showCatName val="0"/>
          <c:showSerName val="0"/>
          <c:showPercent val="0"/>
          <c:showBubbleSize val="0"/>
        </c:dLbls>
        <c:marker val="1"/>
        <c:smooth val="0"/>
        <c:axId val="446323592"/>
        <c:axId val="446323920"/>
      </c:lineChart>
      <c:lineChart>
        <c:grouping val="standard"/>
        <c:varyColors val="0"/>
        <c:ser>
          <c:idx val="0"/>
          <c:order val="0"/>
          <c:tx>
            <c:strRef>
              <c:f>Cashflow!$D$37</c:f>
              <c:strCache>
                <c:ptCount val="1"/>
                <c:pt idx="0">
                  <c:v>Cash change</c:v>
                </c:pt>
              </c:strCache>
            </c:strRef>
          </c:tx>
          <c:spPr>
            <a:ln w="28575" cap="rnd">
              <a:solidFill>
                <a:schemeClr val="accent1"/>
              </a:solidFill>
              <a:round/>
            </a:ln>
            <a:effectLst/>
          </c:spPr>
          <c:marker>
            <c:symbol val="none"/>
          </c:marker>
          <c:cat>
            <c:numRef>
              <c:f>Cashflow!$H$36:$AH$36</c:f>
              <c:numCache>
                <c:formatCode>mmm\-yy</c:formatCode>
                <c:ptCount val="2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numCache>
            </c:numRef>
          </c:cat>
          <c:val>
            <c:numRef>
              <c:f>Cashflow!$H$37:$AH$37</c:f>
              <c:numCache>
                <c:formatCode>"£"#,##0</c:formatCode>
                <c:ptCount val="27"/>
                <c:pt idx="0">
                  <c:v>64470</c:v>
                </c:pt>
                <c:pt idx="1">
                  <c:v>65309.999999999985</c:v>
                </c:pt>
                <c:pt idx="2">
                  <c:v>65519.999999999993</c:v>
                </c:pt>
                <c:pt idx="3">
                  <c:v>65519.999999999993</c:v>
                </c:pt>
                <c:pt idx="4">
                  <c:v>65380.000000000007</c:v>
                </c:pt>
                <c:pt idx="5">
                  <c:v>63490.000000000015</c:v>
                </c:pt>
                <c:pt idx="6">
                  <c:v>64749.999999999993</c:v>
                </c:pt>
                <c:pt idx="7">
                  <c:v>62929.999999999985</c:v>
                </c:pt>
                <c:pt idx="8">
                  <c:v>64470.000000000007</c:v>
                </c:pt>
                <c:pt idx="9">
                  <c:v>64676.330338901811</c:v>
                </c:pt>
                <c:pt idx="10">
                  <c:v>64277.280167727644</c:v>
                </c:pt>
                <c:pt idx="11">
                  <c:v>59592.455596511434</c:v>
                </c:pt>
                <c:pt idx="12">
                  <c:v>60899.410878073766</c:v>
                </c:pt>
                <c:pt idx="13">
                  <c:v>61812.282455612396</c:v>
                </c:pt>
                <c:pt idx="14">
                  <c:v>61112.978629784331</c:v>
                </c:pt>
                <c:pt idx="15">
                  <c:v>61511.192524676335</c:v>
                </c:pt>
                <c:pt idx="16">
                  <c:v>61439.407477399807</c:v>
                </c:pt>
                <c:pt idx="17">
                  <c:v>61439.407477399807</c:v>
                </c:pt>
                <c:pt idx="18">
                  <c:v>61439.407477399807</c:v>
                </c:pt>
                <c:pt idx="19">
                  <c:v>59015.766047347475</c:v>
                </c:pt>
                <c:pt idx="20">
                  <c:v>60227.586762373641</c:v>
                </c:pt>
                <c:pt idx="21">
                  <c:v>60227.586762373641</c:v>
                </c:pt>
                <c:pt idx="22">
                  <c:v>60227.586762373641</c:v>
                </c:pt>
                <c:pt idx="23">
                  <c:v>60227.586762373641</c:v>
                </c:pt>
                <c:pt idx="24">
                  <c:v>60227.586762373641</c:v>
                </c:pt>
                <c:pt idx="25">
                  <c:v>60227.586762373641</c:v>
                </c:pt>
                <c:pt idx="26">
                  <c:v>60227.586762373641</c:v>
                </c:pt>
              </c:numCache>
            </c:numRef>
          </c:val>
          <c:smooth val="0"/>
          <c:extLst>
            <c:ext xmlns:c16="http://schemas.microsoft.com/office/drawing/2014/chart" uri="{C3380CC4-5D6E-409C-BE32-E72D297353CC}">
              <c16:uniqueId val="{00000001-C3F5-4E4D-B0B2-86183991F693}"/>
            </c:ext>
          </c:extLst>
        </c:ser>
        <c:dLbls>
          <c:showLegendKey val="0"/>
          <c:showVal val="0"/>
          <c:showCatName val="0"/>
          <c:showSerName val="0"/>
          <c:showPercent val="0"/>
          <c:showBubbleSize val="0"/>
        </c:dLbls>
        <c:marker val="1"/>
        <c:smooth val="0"/>
        <c:axId val="442515144"/>
        <c:axId val="527505344"/>
      </c:lineChart>
      <c:dateAx>
        <c:axId val="446323592"/>
        <c:scaling>
          <c:orientation val="minMax"/>
        </c:scaling>
        <c:delete val="0"/>
        <c:axPos val="b"/>
        <c:numFmt formatCode="mm/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6323920"/>
        <c:crosses val="autoZero"/>
        <c:auto val="1"/>
        <c:lblOffset val="100"/>
        <c:baseTimeUnit val="months"/>
      </c:dateAx>
      <c:valAx>
        <c:axId val="446323920"/>
        <c:scaling>
          <c:orientation val="minMax"/>
          <c:max val="1.25"/>
          <c:min val="0.60000000000000009"/>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6323592"/>
        <c:crosses val="autoZero"/>
        <c:crossBetween val="between"/>
      </c:valAx>
      <c:valAx>
        <c:axId val="527505344"/>
        <c:scaling>
          <c:orientation val="minMax"/>
        </c:scaling>
        <c:delete val="0"/>
        <c:axPos val="r"/>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2515144"/>
        <c:crosses val="max"/>
        <c:crossBetween val="between"/>
      </c:valAx>
      <c:dateAx>
        <c:axId val="442515144"/>
        <c:scaling>
          <c:orientation val="minMax"/>
        </c:scaling>
        <c:delete val="1"/>
        <c:axPos val="b"/>
        <c:numFmt formatCode="mmm\-yy" sourceLinked="1"/>
        <c:majorTickMark val="out"/>
        <c:minorTickMark val="none"/>
        <c:tickLblPos val="nextTo"/>
        <c:crossAx val="527505344"/>
        <c:crosses val="autoZero"/>
        <c:auto val="1"/>
        <c:lblOffset val="100"/>
        <c:baseTimeUnit val="months"/>
      </c:date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600075</xdr:colOff>
      <xdr:row>3</xdr:row>
      <xdr:rowOff>95250</xdr:rowOff>
    </xdr:from>
    <xdr:to>
      <xdr:col>13</xdr:col>
      <xdr:colOff>0</xdr:colOff>
      <xdr:row>6</xdr:row>
      <xdr:rowOff>142876</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00075" y="771525"/>
          <a:ext cx="7324725" cy="619126"/>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latin typeface="+mn-lt"/>
            </a:rPr>
            <a:t>The following calculator</a:t>
          </a:r>
          <a:r>
            <a:rPr lang="en-GB" sz="1100" baseline="0">
              <a:latin typeface="+mn-lt"/>
            </a:rPr>
            <a:t> </a:t>
          </a:r>
          <a:r>
            <a:rPr lang="en-GB" sz="1100">
              <a:latin typeface="+mn-lt"/>
            </a:rPr>
            <a:t>illustrates indicative income levels and cashflow changes that could be expected by an average pharmacy in £ (sterling) for Essential Services provided under the Community Pharmacy Contractual Framework. These figures are based on the imposition for 2016/17 and 2017/18 and Cat M reimbursement reductions</a:t>
          </a:r>
          <a:r>
            <a:rPr lang="en-GB" sz="1100" baseline="0">
              <a:latin typeface="+mn-lt"/>
            </a:rPr>
            <a:t> from AUgust 2017, and </a:t>
          </a:r>
          <a:r>
            <a:rPr lang="en-GB" sz="1100">
              <a:latin typeface="+mn-lt"/>
            </a:rPr>
            <a:t>are outlined in relation to dispensing volume. </a:t>
          </a:r>
        </a:p>
      </xdr:txBody>
    </xdr:sp>
    <xdr:clientData/>
  </xdr:twoCellAnchor>
  <xdr:twoCellAnchor>
    <xdr:from>
      <xdr:col>0</xdr:col>
      <xdr:colOff>590550</xdr:colOff>
      <xdr:row>7</xdr:row>
      <xdr:rowOff>28575</xdr:rowOff>
    </xdr:from>
    <xdr:to>
      <xdr:col>13</xdr:col>
      <xdr:colOff>19050</xdr:colOff>
      <xdr:row>9</xdr:row>
      <xdr:rowOff>123825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90550" y="1466850"/>
          <a:ext cx="9086850" cy="47625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latin typeface="+mn-lt"/>
            </a:rPr>
            <a:t>The calculator</a:t>
          </a:r>
          <a:r>
            <a:rPr lang="en-GB" sz="1100" baseline="0">
              <a:latin typeface="+mn-lt"/>
            </a:rPr>
            <a:t> allows you to enter a figure for monthly item volume, from which an indicative monthly income is calculated.  The calculator includes national AIV values for the purposes of calculating indicative reimbursement, these may be substitued for the pharmacy's own AIV values where these are known for a more accurate result. </a:t>
          </a:r>
          <a:endParaRPr lang="en-GB" sz="1100">
            <a:latin typeface="+mn-lt"/>
          </a:endParaRPr>
        </a:p>
      </xdr:txBody>
    </xdr:sp>
    <xdr:clientData/>
  </xdr:twoCellAnchor>
  <xdr:twoCellAnchor editAs="oneCell">
    <xdr:from>
      <xdr:col>12</xdr:col>
      <xdr:colOff>200025</xdr:colOff>
      <xdr:row>22</xdr:row>
      <xdr:rowOff>180975</xdr:rowOff>
    </xdr:from>
    <xdr:to>
      <xdr:col>12</xdr:col>
      <xdr:colOff>1324610</xdr:colOff>
      <xdr:row>26</xdr:row>
      <xdr:rowOff>57785</xdr:rowOff>
    </xdr:to>
    <xdr:pic>
      <xdr:nvPicPr>
        <xdr:cNvPr id="4" name="Picture 3">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387" t="5808" r="5226" b="4100"/>
        <a:stretch/>
      </xdr:blipFill>
      <xdr:spPr bwMode="auto">
        <a:xfrm>
          <a:off x="8543925" y="5314950"/>
          <a:ext cx="1124585" cy="81026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12</xdr:col>
      <xdr:colOff>1464945</xdr:colOff>
      <xdr:row>22</xdr:row>
      <xdr:rowOff>231140</xdr:rowOff>
    </xdr:from>
    <xdr:to>
      <xdr:col>12</xdr:col>
      <xdr:colOff>2415540</xdr:colOff>
      <xdr:row>26</xdr:row>
      <xdr:rowOff>55880</xdr:rowOff>
    </xdr:to>
    <xdr:pic>
      <xdr:nvPicPr>
        <xdr:cNvPr id="5" name="Picture 4">
          <a:extLst>
            <a:ext uri="{FF2B5EF4-FFF2-40B4-BE49-F238E27FC236}">
              <a16:creationId xmlns:a16="http://schemas.microsoft.com/office/drawing/2014/main" id="{00000000-0008-0000-0000-000005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911" t="4620" r="5894" b="11646"/>
        <a:stretch/>
      </xdr:blipFill>
      <xdr:spPr bwMode="auto">
        <a:xfrm>
          <a:off x="9808845" y="5365115"/>
          <a:ext cx="1283970" cy="75819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1207293</xdr:colOff>
      <xdr:row>40</xdr:row>
      <xdr:rowOff>14021</xdr:rowOff>
    </xdr:from>
    <xdr:to>
      <xdr:col>12</xdr:col>
      <xdr:colOff>54768</xdr:colOff>
      <xdr:row>65</xdr:row>
      <xdr:rowOff>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digby\AppData\Local\Microsoft\Windows\INetCache\Content.Outlook\V5Y8V9MT\Forecasting(toMay16itemsApr16costs)%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 drug tariff"/>
      <sheetName val="Data"/>
      <sheetName val="PrescriptionsForecast"/>
      <sheetName val="MURForecast"/>
      <sheetName val="MURForecast2"/>
      <sheetName val="Ex &amp; CP"/>
      <sheetName val="PreRegTraineesForecast"/>
      <sheetName val="Forecast"/>
      <sheetName val="ContractSum"/>
      <sheetName val="Historic"/>
      <sheetName val="Ts_inc forecast"/>
      <sheetName val="AUR Stoma split"/>
      <sheetName val="Sheet1"/>
      <sheetName val="Items annual"/>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E2" t="str">
            <v>Financial Year Actual/Forecast Accruals Basis</v>
          </cell>
        </row>
        <row r="14">
          <cell r="E14" t="str">
            <v>2005/6 Actual</v>
          </cell>
        </row>
        <row r="15">
          <cell r="E15" t="str">
            <v>2005/6 Actual</v>
          </cell>
        </row>
        <row r="16">
          <cell r="E16" t="str">
            <v>2005/6 Actual</v>
          </cell>
        </row>
        <row r="17">
          <cell r="E17" t="str">
            <v>2005/6 Actual</v>
          </cell>
        </row>
        <row r="18">
          <cell r="E18" t="str">
            <v>2005/6 Actual</v>
          </cell>
        </row>
        <row r="19">
          <cell r="E19" t="str">
            <v>2005/6 Actual</v>
          </cell>
        </row>
        <row r="20">
          <cell r="E20" t="str">
            <v>2005/6 Actual</v>
          </cell>
        </row>
        <row r="21">
          <cell r="E21" t="str">
            <v>2005/6 Actual</v>
          </cell>
        </row>
        <row r="22">
          <cell r="E22" t="str">
            <v>2005/6 Actual</v>
          </cell>
        </row>
        <row r="23">
          <cell r="E23" t="str">
            <v>2005/6 Actual</v>
          </cell>
        </row>
        <row r="24">
          <cell r="E24" t="str">
            <v>2005/6 Actual</v>
          </cell>
        </row>
        <row r="25">
          <cell r="E25" t="str">
            <v>2005/6 Actual</v>
          </cell>
        </row>
        <row r="26">
          <cell r="E26" t="str">
            <v>2006/7 Actual</v>
          </cell>
        </row>
        <row r="27">
          <cell r="E27" t="str">
            <v>2006/7 Actual</v>
          </cell>
        </row>
        <row r="28">
          <cell r="E28" t="str">
            <v>2006/7 Actual</v>
          </cell>
        </row>
        <row r="29">
          <cell r="E29" t="str">
            <v>2006/7 Actual</v>
          </cell>
        </row>
        <row r="30">
          <cell r="E30" t="str">
            <v>2006/7 Actual</v>
          </cell>
        </row>
        <row r="31">
          <cell r="E31" t="str">
            <v>2006/7 Actual</v>
          </cell>
        </row>
        <row r="32">
          <cell r="E32" t="str">
            <v>2006/7 Actual</v>
          </cell>
        </row>
        <row r="33">
          <cell r="E33" t="str">
            <v>2006/7 Actual</v>
          </cell>
        </row>
        <row r="34">
          <cell r="E34" t="str">
            <v>2006/7 Actual</v>
          </cell>
        </row>
        <row r="35">
          <cell r="E35" t="str">
            <v>2006/7 Actual</v>
          </cell>
        </row>
        <row r="36">
          <cell r="E36" t="str">
            <v>2006/7 Actual</v>
          </cell>
        </row>
        <row r="37">
          <cell r="E37" t="str">
            <v>2006/7 Actual</v>
          </cell>
        </row>
        <row r="38">
          <cell r="E38" t="str">
            <v>2007/8 Actual</v>
          </cell>
        </row>
        <row r="39">
          <cell r="E39" t="str">
            <v>2007/8 Actual</v>
          </cell>
        </row>
        <row r="40">
          <cell r="E40" t="str">
            <v>2007/8 Actual</v>
          </cell>
        </row>
        <row r="41">
          <cell r="E41" t="str">
            <v>2007/8 Actual</v>
          </cell>
        </row>
        <row r="42">
          <cell r="E42" t="str">
            <v>2007/8 Actual</v>
          </cell>
        </row>
        <row r="43">
          <cell r="E43" t="str">
            <v>2007/8 Actual</v>
          </cell>
        </row>
        <row r="44">
          <cell r="E44" t="str">
            <v>2007/8 Actual</v>
          </cell>
        </row>
        <row r="45">
          <cell r="E45" t="str">
            <v>2007/8 Actual</v>
          </cell>
        </row>
        <row r="46">
          <cell r="E46" t="str">
            <v>2007/8 Actual</v>
          </cell>
        </row>
        <row r="47">
          <cell r="E47" t="str">
            <v>2007/8 Actual</v>
          </cell>
        </row>
        <row r="48">
          <cell r="E48" t="str">
            <v>2007/8 Actual</v>
          </cell>
        </row>
        <row r="49">
          <cell r="E49" t="str">
            <v>2007/8 Actual</v>
          </cell>
        </row>
        <row r="50">
          <cell r="E50" t="str">
            <v>2008/9 Actual</v>
          </cell>
        </row>
        <row r="51">
          <cell r="E51" t="str">
            <v>2008/9 Actual</v>
          </cell>
        </row>
        <row r="52">
          <cell r="E52" t="str">
            <v>2008/9 Actual</v>
          </cell>
        </row>
        <row r="53">
          <cell r="E53" t="str">
            <v>2008/9 Actual</v>
          </cell>
        </row>
        <row r="54">
          <cell r="E54" t="str">
            <v>2008/9 Actual</v>
          </cell>
        </row>
        <row r="55">
          <cell r="E55" t="str">
            <v>2008/9 Actual</v>
          </cell>
        </row>
        <row r="56">
          <cell r="E56" t="str">
            <v>2008/9 Actual</v>
          </cell>
        </row>
        <row r="57">
          <cell r="E57" t="str">
            <v>2008/9 Actual</v>
          </cell>
        </row>
        <row r="58">
          <cell r="E58" t="str">
            <v>2008/9 Actual</v>
          </cell>
        </row>
        <row r="59">
          <cell r="E59" t="str">
            <v>2008/9 Actual</v>
          </cell>
        </row>
        <row r="60">
          <cell r="E60" t="str">
            <v>2008/9 Actual</v>
          </cell>
        </row>
        <row r="61">
          <cell r="E61" t="str">
            <v>2008/9 Actual</v>
          </cell>
        </row>
        <row r="62">
          <cell r="E62" t="str">
            <v>2009/10 Actual</v>
          </cell>
        </row>
        <row r="63">
          <cell r="E63" t="str">
            <v>2009/10 Actual</v>
          </cell>
        </row>
        <row r="64">
          <cell r="E64" t="str">
            <v>2009/10 Actual</v>
          </cell>
        </row>
        <row r="65">
          <cell r="E65" t="str">
            <v>2009/10 Actual</v>
          </cell>
        </row>
        <row r="66">
          <cell r="E66" t="str">
            <v>2009/10 Actual</v>
          </cell>
        </row>
        <row r="67">
          <cell r="E67" t="str">
            <v>2009/10 Actual</v>
          </cell>
        </row>
        <row r="68">
          <cell r="E68" t="str">
            <v>2009/10 Actual</v>
          </cell>
        </row>
        <row r="69">
          <cell r="E69" t="str">
            <v>2009/10 Actual</v>
          </cell>
        </row>
        <row r="70">
          <cell r="E70" t="str">
            <v>2009/10 Actual</v>
          </cell>
        </row>
        <row r="71">
          <cell r="E71" t="str">
            <v>2009/10 Actual</v>
          </cell>
        </row>
        <row r="72">
          <cell r="E72" t="str">
            <v>2009/10 Actual</v>
          </cell>
        </row>
        <row r="73">
          <cell r="E73" t="str">
            <v>2009/10 Actual</v>
          </cell>
        </row>
        <row r="74">
          <cell r="E74" t="str">
            <v>2010/11 Actual</v>
          </cell>
        </row>
        <row r="75">
          <cell r="E75" t="str">
            <v>2010/11 Actual</v>
          </cell>
        </row>
        <row r="76">
          <cell r="E76" t="str">
            <v>2010/11 Actual</v>
          </cell>
        </row>
        <row r="77">
          <cell r="E77" t="str">
            <v>2010/11 Actual</v>
          </cell>
        </row>
        <row r="78">
          <cell r="E78" t="str">
            <v>2010/11 Actual</v>
          </cell>
        </row>
        <row r="79">
          <cell r="E79" t="str">
            <v>2010/11 Actual</v>
          </cell>
        </row>
        <row r="80">
          <cell r="E80" t="str">
            <v>2010/11 Actual</v>
          </cell>
        </row>
        <row r="81">
          <cell r="E81" t="str">
            <v>2010/11 Actual</v>
          </cell>
        </row>
        <row r="82">
          <cell r="E82" t="str">
            <v>2010/11 Actual</v>
          </cell>
        </row>
        <row r="83">
          <cell r="E83" t="str">
            <v>2010/11 Actual</v>
          </cell>
        </row>
        <row r="84">
          <cell r="E84" t="str">
            <v>2010/11 Actual</v>
          </cell>
        </row>
        <row r="85">
          <cell r="E85" t="str">
            <v>2010/11 Actual</v>
          </cell>
        </row>
        <row r="86">
          <cell r="E86" t="str">
            <v>2011/12 Actual</v>
          </cell>
        </row>
        <row r="87">
          <cell r="E87" t="str">
            <v>2011/12 Actual</v>
          </cell>
        </row>
        <row r="88">
          <cell r="E88" t="str">
            <v>2011/12 Actual</v>
          </cell>
        </row>
        <row r="89">
          <cell r="E89" t="str">
            <v>2011/12 Actual</v>
          </cell>
        </row>
        <row r="90">
          <cell r="E90" t="str">
            <v>2011/12 Actual</v>
          </cell>
        </row>
        <row r="91">
          <cell r="E91" t="str">
            <v>2011/12 Actual</v>
          </cell>
        </row>
        <row r="92">
          <cell r="E92" t="str">
            <v>2011/12 Actual</v>
          </cell>
        </row>
        <row r="93">
          <cell r="E93" t="str">
            <v>2011/12 Actual</v>
          </cell>
        </row>
        <row r="94">
          <cell r="E94" t="str">
            <v>2011/12 Actual</v>
          </cell>
        </row>
        <row r="95">
          <cell r="E95" t="str">
            <v>2011/12 Actual</v>
          </cell>
        </row>
        <row r="96">
          <cell r="E96" t="str">
            <v>2011/12 Actual</v>
          </cell>
        </row>
        <row r="97">
          <cell r="E97" t="str">
            <v>2011/12 Actual</v>
          </cell>
        </row>
        <row r="98">
          <cell r="E98" t="str">
            <v>2012/13 Actual</v>
          </cell>
        </row>
        <row r="99">
          <cell r="E99" t="str">
            <v>2012/13 Actual</v>
          </cell>
        </row>
        <row r="100">
          <cell r="E100" t="str">
            <v>2012/13 Actual</v>
          </cell>
        </row>
        <row r="101">
          <cell r="E101" t="str">
            <v>2012/13 Actual</v>
          </cell>
        </row>
        <row r="102">
          <cell r="E102" t="str">
            <v>2012/13 Actual</v>
          </cell>
        </row>
        <row r="103">
          <cell r="E103" t="str">
            <v>2012/13 Actual</v>
          </cell>
        </row>
        <row r="104">
          <cell r="E104" t="str">
            <v>2012/13 Actual</v>
          </cell>
        </row>
        <row r="105">
          <cell r="E105" t="str">
            <v>2012/13 Actual</v>
          </cell>
        </row>
        <row r="106">
          <cell r="E106" t="str">
            <v>2012/13 Actual</v>
          </cell>
        </row>
        <row r="107">
          <cell r="E107" t="str">
            <v>2012/13 Actual</v>
          </cell>
        </row>
        <row r="108">
          <cell r="E108" t="str">
            <v>2012/13 Actual</v>
          </cell>
        </row>
        <row r="109">
          <cell r="E109" t="str">
            <v>2012/13 Actual</v>
          </cell>
        </row>
        <row r="110">
          <cell r="E110" t="str">
            <v>2013/14 Actual</v>
          </cell>
        </row>
        <row r="111">
          <cell r="E111" t="str">
            <v>2013/14 Actual</v>
          </cell>
        </row>
        <row r="112">
          <cell r="E112" t="str">
            <v>2013/14 Actual</v>
          </cell>
        </row>
        <row r="113">
          <cell r="E113" t="str">
            <v>2013/14 Actual</v>
          </cell>
        </row>
        <row r="114">
          <cell r="E114" t="str">
            <v>2013/14 Actual</v>
          </cell>
        </row>
        <row r="115">
          <cell r="E115" t="str">
            <v>2013/14 Actual</v>
          </cell>
        </row>
        <row r="116">
          <cell r="E116" t="str">
            <v>2013/14 Actual</v>
          </cell>
        </row>
        <row r="117">
          <cell r="E117" t="str">
            <v>2013/14 Actual</v>
          </cell>
        </row>
        <row r="118">
          <cell r="E118" t="str">
            <v>2013/14 Actual</v>
          </cell>
        </row>
        <row r="119">
          <cell r="E119" t="str">
            <v>2013/14 Actual</v>
          </cell>
        </row>
        <row r="120">
          <cell r="E120" t="str">
            <v>2013/14 Actual</v>
          </cell>
        </row>
        <row r="121">
          <cell r="E121" t="str">
            <v>2013/14 Actual</v>
          </cell>
        </row>
        <row r="122">
          <cell r="E122" t="str">
            <v>2014/15 Actual</v>
          </cell>
        </row>
        <row r="123">
          <cell r="E123" t="str">
            <v>2014/15 Actual</v>
          </cell>
        </row>
        <row r="124">
          <cell r="E124" t="str">
            <v>2014/15 Actual</v>
          </cell>
        </row>
        <row r="125">
          <cell r="E125" t="str">
            <v>2014/15 Actual</v>
          </cell>
        </row>
        <row r="126">
          <cell r="E126" t="str">
            <v>2014/15 Actual</v>
          </cell>
        </row>
        <row r="127">
          <cell r="E127" t="str">
            <v>2014/15 Actual</v>
          </cell>
        </row>
        <row r="128">
          <cell r="E128" t="str">
            <v>2014/15 Actual</v>
          </cell>
        </row>
        <row r="129">
          <cell r="E129" t="str">
            <v>2014/15 Actual</v>
          </cell>
        </row>
        <row r="130">
          <cell r="E130" t="str">
            <v>2014/15 Actual</v>
          </cell>
        </row>
        <row r="131">
          <cell r="E131" t="str">
            <v>2014/15 Actual</v>
          </cell>
        </row>
        <row r="132">
          <cell r="E132" t="str">
            <v>2014/15 Actual</v>
          </cell>
        </row>
        <row r="133">
          <cell r="E133" t="str">
            <v>2014/15 Actual</v>
          </cell>
        </row>
        <row r="134">
          <cell r="E134" t="str">
            <v>2015/16 Actual</v>
          </cell>
        </row>
        <row r="135">
          <cell r="E135" t="str">
            <v>2015/16 Actual</v>
          </cell>
        </row>
        <row r="136">
          <cell r="E136" t="str">
            <v>2015/16 Actual</v>
          </cell>
        </row>
        <row r="137">
          <cell r="E137" t="str">
            <v>2015/16 Actual</v>
          </cell>
        </row>
        <row r="138">
          <cell r="E138" t="str">
            <v>2015/16 Actual</v>
          </cell>
        </row>
        <row r="139">
          <cell r="E139" t="str">
            <v>2015/16 Actual</v>
          </cell>
        </row>
        <row r="140">
          <cell r="E140" t="str">
            <v>2015/16 Actual</v>
          </cell>
        </row>
        <row r="141">
          <cell r="E141" t="str">
            <v>2015/16 Actual</v>
          </cell>
        </row>
        <row r="142">
          <cell r="E142" t="str">
            <v>2015/16 Actual</v>
          </cell>
        </row>
        <row r="143">
          <cell r="E143" t="str">
            <v>2015/16 Actual</v>
          </cell>
        </row>
        <row r="144">
          <cell r="E144" t="str">
            <v>2015/16 Actual</v>
          </cell>
        </row>
        <row r="145">
          <cell r="E145" t="str">
            <v>2015/16 Actual</v>
          </cell>
        </row>
        <row r="146">
          <cell r="E146" t="str">
            <v>2016/17 Actual</v>
          </cell>
        </row>
        <row r="147">
          <cell r="E147" t="str">
            <v>2016/17 Forecast</v>
          </cell>
        </row>
        <row r="148">
          <cell r="E148" t="str">
            <v>2016/17 Forecast</v>
          </cell>
        </row>
        <row r="149">
          <cell r="E149" t="str">
            <v>2016/17 Forecast</v>
          </cell>
        </row>
        <row r="150">
          <cell r="E150" t="str">
            <v>2016/17 Forecast</v>
          </cell>
        </row>
        <row r="151">
          <cell r="E151" t="str">
            <v>2016/17 Forecast</v>
          </cell>
        </row>
        <row r="152">
          <cell r="E152" t="str">
            <v>2016/17 Forecast</v>
          </cell>
        </row>
        <row r="153">
          <cell r="E153" t="str">
            <v>2016/17 Forecast</v>
          </cell>
        </row>
        <row r="154">
          <cell r="E154" t="str">
            <v>2016/17 Forecast</v>
          </cell>
        </row>
        <row r="155">
          <cell r="E155" t="str">
            <v>2016/17 Forecast</v>
          </cell>
        </row>
        <row r="156">
          <cell r="E156" t="str">
            <v>2016/17 Forecast</v>
          </cell>
        </row>
        <row r="157">
          <cell r="E157" t="str">
            <v>2016/17 Forecast</v>
          </cell>
        </row>
        <row r="158">
          <cell r="E158" t="str">
            <v>2017/18 Forecast</v>
          </cell>
        </row>
        <row r="159">
          <cell r="E159" t="str">
            <v>2017/18 Forecast</v>
          </cell>
        </row>
        <row r="160">
          <cell r="E160" t="str">
            <v>2017/18 Forecast</v>
          </cell>
        </row>
        <row r="161">
          <cell r="E161" t="str">
            <v>2017/18 Forecast</v>
          </cell>
        </row>
        <row r="162">
          <cell r="E162" t="str">
            <v>2017/18 Forecast</v>
          </cell>
        </row>
        <row r="163">
          <cell r="E163" t="str">
            <v>2017/18 Forecast</v>
          </cell>
        </row>
        <row r="164">
          <cell r="E164" t="str">
            <v>2017/18 Forecast</v>
          </cell>
        </row>
        <row r="165">
          <cell r="E165" t="str">
            <v>2017/18 Forecast</v>
          </cell>
        </row>
        <row r="166">
          <cell r="E166" t="str">
            <v>2017/18 Forecast</v>
          </cell>
        </row>
        <row r="167">
          <cell r="E167" t="str">
            <v>2017/18 Forecast</v>
          </cell>
        </row>
        <row r="168">
          <cell r="E168" t="str">
            <v>2017/18 Forecast</v>
          </cell>
        </row>
        <row r="169">
          <cell r="E169" t="str">
            <v>2017/18 Forecast</v>
          </cell>
        </row>
        <row r="170">
          <cell r="E170" t="str">
            <v>2018/19 Forecast</v>
          </cell>
        </row>
        <row r="171">
          <cell r="E171" t="str">
            <v>2018/19 Forecast</v>
          </cell>
        </row>
        <row r="172">
          <cell r="E172" t="str">
            <v>2018/19 Forecast</v>
          </cell>
        </row>
        <row r="173">
          <cell r="E173" t="str">
            <v>2018/19 Forecast</v>
          </cell>
        </row>
        <row r="174">
          <cell r="E174" t="str">
            <v>2018/19 Forecast</v>
          </cell>
        </row>
        <row r="175">
          <cell r="E175" t="str">
            <v>2018/19 Forecast</v>
          </cell>
        </row>
      </sheetData>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tint="0.39997558519241921"/>
  </sheetPr>
  <dimension ref="A3:M26"/>
  <sheetViews>
    <sheetView tabSelected="1" workbookViewId="0"/>
  </sheetViews>
  <sheetFormatPr defaultColWidth="9.140625" defaultRowHeight="15" x14ac:dyDescent="0.25"/>
  <cols>
    <col min="1" max="1" width="9.140625" style="1"/>
    <col min="2" max="2" width="14.28515625" style="1" customWidth="1"/>
    <col min="3" max="12" width="9.140625" style="1"/>
    <col min="13" max="13" width="42.28515625" style="1" customWidth="1"/>
    <col min="14" max="16384" width="9.140625" style="1"/>
  </cols>
  <sheetData>
    <row r="3" spans="2:13" ht="21" x14ac:dyDescent="0.25">
      <c r="B3" s="15" t="s">
        <v>78</v>
      </c>
    </row>
    <row r="9" spans="2:13" s="6" customFormat="1" x14ac:dyDescent="0.25"/>
    <row r="10" spans="2:13" s="6" customFormat="1" x14ac:dyDescent="0.25"/>
    <row r="11" spans="2:13" s="6" customFormat="1" x14ac:dyDescent="0.25"/>
    <row r="12" spans="2:13" ht="25.5" customHeight="1" x14ac:dyDescent="0.25">
      <c r="B12" s="21" t="s">
        <v>9</v>
      </c>
      <c r="C12" s="12" t="s">
        <v>10</v>
      </c>
      <c r="D12" s="3"/>
      <c r="E12" s="3"/>
      <c r="F12" s="3"/>
      <c r="G12" s="3"/>
      <c r="H12" s="3"/>
      <c r="I12" s="3"/>
      <c r="J12" s="3"/>
      <c r="K12" s="3"/>
      <c r="L12" s="3"/>
      <c r="M12" s="3"/>
    </row>
    <row r="13" spans="2:13" ht="27.75" customHeight="1" x14ac:dyDescent="0.25">
      <c r="B13" s="3"/>
      <c r="C13" s="192" t="s">
        <v>79</v>
      </c>
      <c r="D13" s="192"/>
      <c r="E13" s="192"/>
      <c r="F13" s="192"/>
      <c r="G13" s="192"/>
      <c r="H13" s="192"/>
      <c r="I13" s="192"/>
      <c r="J13" s="192"/>
      <c r="K13" s="192"/>
      <c r="L13" s="192"/>
      <c r="M13" s="192"/>
    </row>
    <row r="14" spans="2:13" ht="21.75" customHeight="1" x14ac:dyDescent="0.25">
      <c r="B14" s="5"/>
      <c r="C14" s="12" t="s">
        <v>80</v>
      </c>
      <c r="D14" s="3"/>
      <c r="E14" s="3"/>
      <c r="F14" s="3"/>
      <c r="G14" s="3"/>
      <c r="H14" s="3"/>
      <c r="I14" s="3"/>
      <c r="J14" s="3"/>
      <c r="K14" s="3"/>
      <c r="L14" s="3"/>
      <c r="M14" s="3"/>
    </row>
    <row r="15" spans="2:13" ht="21.75" customHeight="1" x14ac:dyDescent="0.25">
      <c r="B15" s="5"/>
      <c r="C15" s="192" t="s">
        <v>81</v>
      </c>
      <c r="D15" s="192"/>
      <c r="E15" s="192"/>
      <c r="F15" s="192"/>
      <c r="G15" s="192"/>
      <c r="H15" s="192"/>
      <c r="I15" s="192"/>
      <c r="J15" s="192"/>
      <c r="K15" s="192"/>
      <c r="L15" s="192"/>
      <c r="M15" s="192"/>
    </row>
    <row r="16" spans="2:13" s="6" customFormat="1" ht="21.75" customHeight="1" x14ac:dyDescent="0.25">
      <c r="B16" s="5"/>
      <c r="C16" s="192"/>
      <c r="D16" s="192"/>
      <c r="E16" s="192"/>
      <c r="F16" s="192"/>
      <c r="G16" s="192"/>
      <c r="H16" s="192"/>
      <c r="I16" s="192"/>
      <c r="J16" s="192"/>
      <c r="K16" s="192"/>
      <c r="L16" s="192"/>
      <c r="M16" s="192"/>
    </row>
    <row r="17" spans="1:13" ht="27" customHeight="1" x14ac:dyDescent="0.25">
      <c r="B17" s="5"/>
      <c r="C17" s="192" t="s">
        <v>6</v>
      </c>
      <c r="D17" s="192"/>
      <c r="E17" s="192"/>
      <c r="F17" s="192"/>
      <c r="G17" s="192"/>
      <c r="H17" s="192"/>
      <c r="I17" s="192"/>
      <c r="J17" s="192"/>
      <c r="K17" s="192"/>
      <c r="L17" s="192"/>
      <c r="M17" s="192"/>
    </row>
    <row r="18" spans="1:13" s="6" customFormat="1" ht="27" customHeight="1" x14ac:dyDescent="0.25">
      <c r="B18" s="5"/>
      <c r="C18" s="192"/>
      <c r="D18" s="192"/>
      <c r="E18" s="192"/>
      <c r="F18" s="192"/>
      <c r="G18" s="192"/>
      <c r="H18" s="192"/>
      <c r="I18" s="192"/>
      <c r="J18" s="192"/>
      <c r="K18" s="192"/>
      <c r="L18" s="192"/>
      <c r="M18" s="192"/>
    </row>
    <row r="19" spans="1:13" s="6" customFormat="1" ht="27" customHeight="1" x14ac:dyDescent="0.25">
      <c r="B19" s="5"/>
      <c r="C19" s="12" t="s">
        <v>11</v>
      </c>
      <c r="D19" s="9"/>
      <c r="E19" s="9"/>
      <c r="F19" s="9"/>
      <c r="G19" s="7"/>
      <c r="H19" s="7"/>
      <c r="I19" s="7"/>
      <c r="J19" s="7"/>
      <c r="K19" s="7"/>
      <c r="L19" s="7"/>
      <c r="M19" s="7"/>
    </row>
    <row r="20" spans="1:13" s="6" customFormat="1" ht="32.25" customHeight="1" x14ac:dyDescent="0.25">
      <c r="B20" s="5"/>
      <c r="C20" s="12" t="s">
        <v>8</v>
      </c>
      <c r="D20" s="3"/>
      <c r="E20" s="3"/>
      <c r="F20" s="3"/>
      <c r="G20" s="3"/>
      <c r="H20" s="3"/>
      <c r="I20" s="3"/>
      <c r="J20" s="3"/>
      <c r="K20" s="3"/>
      <c r="L20" s="3"/>
      <c r="M20" s="3"/>
    </row>
    <row r="21" spans="1:13" s="6" customFormat="1" x14ac:dyDescent="0.25">
      <c r="B21" s="5"/>
      <c r="C21" s="3"/>
      <c r="D21" s="12"/>
      <c r="E21" s="12"/>
      <c r="F21" s="12"/>
      <c r="G21" s="10"/>
      <c r="H21" s="9"/>
      <c r="I21" s="9"/>
      <c r="J21" s="7"/>
      <c r="K21" s="7"/>
      <c r="L21" s="7"/>
      <c r="M21" s="7"/>
    </row>
    <row r="22" spans="1:13" s="6" customFormat="1" ht="4.5" customHeight="1" x14ac:dyDescent="0.25">
      <c r="B22" s="5"/>
      <c r="C22" s="3"/>
      <c r="D22" s="7"/>
      <c r="E22" s="7"/>
      <c r="F22" s="7"/>
      <c r="G22" s="7"/>
      <c r="H22" s="7"/>
      <c r="I22" s="7"/>
      <c r="J22" s="7"/>
      <c r="K22" s="7"/>
      <c r="L22" s="7"/>
      <c r="M22" s="7"/>
    </row>
    <row r="23" spans="1:13" s="6" customFormat="1" ht="21.75" customHeight="1" x14ac:dyDescent="0.25">
      <c r="B23" s="8"/>
      <c r="D23" s="11"/>
      <c r="E23" s="11"/>
      <c r="F23" s="11"/>
      <c r="G23" s="11"/>
      <c r="H23" s="11"/>
      <c r="I23" s="11"/>
      <c r="J23" s="11"/>
      <c r="K23" s="11"/>
      <c r="L23" s="11"/>
      <c r="M23" s="11"/>
    </row>
    <row r="24" spans="1:13" ht="21.75" customHeight="1" x14ac:dyDescent="0.25">
      <c r="A24" s="6"/>
      <c r="B24" s="14" t="s">
        <v>82</v>
      </c>
      <c r="C24" s="6"/>
      <c r="D24" s="6"/>
      <c r="E24" s="6"/>
      <c r="F24" s="6"/>
      <c r="G24" s="6"/>
      <c r="H24" s="6"/>
      <c r="I24" s="6"/>
      <c r="J24" s="6"/>
      <c r="K24" s="6"/>
      <c r="L24" s="6"/>
      <c r="M24" s="13"/>
    </row>
    <row r="25" spans="1:13" x14ac:dyDescent="0.25">
      <c r="A25" s="6"/>
      <c r="B25" s="6"/>
      <c r="C25" s="6"/>
      <c r="D25" s="6"/>
      <c r="E25" s="6"/>
      <c r="F25" s="6"/>
      <c r="G25" s="6"/>
      <c r="H25" s="6"/>
      <c r="I25" s="6"/>
      <c r="J25" s="6"/>
      <c r="K25" s="6"/>
      <c r="L25" s="6"/>
      <c r="M25" s="6"/>
    </row>
    <row r="26" spans="1:13" x14ac:dyDescent="0.25">
      <c r="A26" s="6"/>
      <c r="B26" s="6"/>
      <c r="C26" s="6"/>
      <c r="D26" s="6"/>
      <c r="E26" s="6"/>
      <c r="F26" s="6"/>
      <c r="G26" s="6"/>
      <c r="H26" s="6"/>
      <c r="I26" s="6"/>
      <c r="J26" s="6"/>
      <c r="K26" s="6"/>
      <c r="L26" s="6"/>
      <c r="M26" s="6"/>
    </row>
  </sheetData>
  <sheetProtection sheet="1" objects="1" scenarios="1"/>
  <mergeCells count="3">
    <mergeCell ref="C15:M16"/>
    <mergeCell ref="C17:M18"/>
    <mergeCell ref="C13:M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sheetPr>
  <dimension ref="A2:BC107"/>
  <sheetViews>
    <sheetView topLeftCell="A4" zoomScale="80" zoomScaleNormal="80" workbookViewId="0">
      <selection activeCell="E9" sqref="E9"/>
    </sheetView>
  </sheetViews>
  <sheetFormatPr defaultRowHeight="15" x14ac:dyDescent="0.25"/>
  <cols>
    <col min="1" max="1" width="9.140625" style="6"/>
    <col min="2" max="2" width="7.7109375" style="13" customWidth="1"/>
    <col min="3" max="3" width="28.140625" style="13" customWidth="1"/>
    <col min="4" max="4" width="10.140625" style="13" customWidth="1"/>
    <col min="5" max="5" width="10.5703125" style="13" customWidth="1"/>
    <col min="6" max="7" width="10.140625" style="13" customWidth="1"/>
    <col min="8" max="15" width="10.140625" style="6" customWidth="1"/>
    <col min="16" max="16" width="10.42578125" style="6" customWidth="1"/>
    <col min="17" max="34" width="10.140625" style="6" customWidth="1"/>
    <col min="35" max="35" width="14.28515625" style="6" customWidth="1"/>
    <col min="36" max="36" width="11.42578125" style="6" customWidth="1"/>
    <col min="37" max="37" width="11.28515625" style="6" customWidth="1"/>
    <col min="38" max="38" width="12.140625" style="6" customWidth="1"/>
    <col min="39" max="39" width="23.28515625" style="6" customWidth="1"/>
    <col min="40" max="40" width="15.28515625" style="6" customWidth="1"/>
    <col min="41" max="41" width="21.140625" style="6" customWidth="1"/>
    <col min="42" max="42" width="6.5703125" style="6" customWidth="1"/>
    <col min="43" max="43" width="14.85546875" style="6" customWidth="1"/>
    <col min="44" max="45" width="12" style="6" customWidth="1"/>
    <col min="46" max="46" width="32.140625" style="6" customWidth="1"/>
    <col min="47" max="47" width="9" style="6" customWidth="1"/>
    <col min="48" max="48" width="13.7109375" style="6" customWidth="1"/>
    <col min="49" max="49" width="9.140625" style="6"/>
    <col min="50" max="50" width="7.85546875" style="6" customWidth="1"/>
    <col min="51" max="51" width="6.5703125" style="6" bestFit="1" customWidth="1"/>
    <col min="52" max="16384" width="9.140625" style="6"/>
  </cols>
  <sheetData>
    <row r="2" spans="1:48" ht="21" x14ac:dyDescent="0.25">
      <c r="C2" s="15" t="s">
        <v>12</v>
      </c>
    </row>
    <row r="4" spans="1:48" ht="30.75" customHeight="1" x14ac:dyDescent="0.25">
      <c r="C4" s="197" t="s">
        <v>66</v>
      </c>
      <c r="D4" s="198"/>
      <c r="E4" s="198"/>
      <c r="F4" s="198"/>
      <c r="G4" s="198"/>
      <c r="H4" s="198"/>
      <c r="I4" s="198"/>
      <c r="J4" s="198"/>
      <c r="K4" s="198"/>
      <c r="L4" s="198"/>
      <c r="M4" s="198"/>
      <c r="N4" s="198"/>
      <c r="O4" s="198"/>
      <c r="P4" s="198"/>
      <c r="Q4" s="198"/>
      <c r="R4" s="198"/>
      <c r="S4" s="198"/>
      <c r="T4" s="198"/>
    </row>
    <row r="6" spans="1:48" x14ac:dyDescent="0.25">
      <c r="C6" s="199" t="s">
        <v>74</v>
      </c>
      <c r="D6" s="199"/>
      <c r="E6" s="199"/>
      <c r="F6" s="199"/>
      <c r="G6" s="199"/>
      <c r="H6" s="199"/>
      <c r="I6" s="199"/>
      <c r="J6" s="199"/>
      <c r="K6" s="199"/>
      <c r="L6" s="199"/>
      <c r="M6" s="199"/>
      <c r="N6" s="199"/>
      <c r="O6" s="199"/>
      <c r="P6" s="199"/>
      <c r="Q6" s="199"/>
      <c r="R6" s="199"/>
      <c r="S6" s="199"/>
      <c r="T6" s="199"/>
    </row>
    <row r="7" spans="1:48" ht="22.5" customHeight="1" thickBot="1" x14ac:dyDescent="0.3">
      <c r="E7" s="172" t="s">
        <v>84</v>
      </c>
    </row>
    <row r="8" spans="1:48" s="4" customFormat="1" ht="25.5" customHeight="1" thickBot="1" x14ac:dyDescent="0.3">
      <c r="C8" s="32"/>
      <c r="D8" s="32" t="s">
        <v>13</v>
      </c>
      <c r="E8" s="191">
        <v>7000</v>
      </c>
      <c r="F8" s="170" t="s">
        <v>14</v>
      </c>
      <c r="G8" s="171"/>
      <c r="H8" s="171"/>
      <c r="I8" s="171"/>
      <c r="J8" s="171"/>
      <c r="K8" s="171"/>
      <c r="L8" s="171"/>
      <c r="M8" s="171"/>
      <c r="N8" s="171"/>
      <c r="O8" s="171"/>
      <c r="P8" s="171"/>
      <c r="Q8" s="171"/>
      <c r="R8" s="171"/>
      <c r="S8" s="171"/>
      <c r="T8" s="171"/>
      <c r="U8" s="171"/>
      <c r="V8" s="171"/>
      <c r="W8" s="171"/>
      <c r="X8" s="171"/>
      <c r="Y8" s="171"/>
      <c r="Z8" s="171"/>
      <c r="AA8" s="171"/>
      <c r="AB8" s="171"/>
      <c r="AC8" s="171"/>
      <c r="AD8" s="171"/>
      <c r="AE8" s="171"/>
      <c r="AF8" s="171"/>
      <c r="AG8" s="171"/>
      <c r="AH8" s="171"/>
    </row>
    <row r="9" spans="1:48" ht="18.75" thickTop="1" thickBot="1" x14ac:dyDescent="0.3">
      <c r="B9" s="6"/>
      <c r="F9" s="23"/>
      <c r="G9" s="23"/>
      <c r="H9" s="200" t="s">
        <v>15</v>
      </c>
      <c r="I9" s="201"/>
      <c r="J9" s="201"/>
      <c r="K9" s="201"/>
      <c r="L9" s="201"/>
      <c r="M9" s="202"/>
      <c r="N9" s="200" t="s">
        <v>16</v>
      </c>
      <c r="O9" s="201"/>
      <c r="P9" s="201"/>
      <c r="Q9" s="201"/>
      <c r="R9" s="201"/>
      <c r="S9" s="202"/>
      <c r="T9" s="200" t="s">
        <v>17</v>
      </c>
      <c r="U9" s="201"/>
      <c r="V9" s="201"/>
      <c r="W9" s="201"/>
      <c r="X9" s="201"/>
      <c r="Y9" s="202"/>
      <c r="Z9" s="200" t="s">
        <v>72</v>
      </c>
      <c r="AA9" s="201"/>
      <c r="AB9" s="201"/>
      <c r="AC9" s="201"/>
      <c r="AD9" s="201"/>
      <c r="AE9" s="202"/>
      <c r="AF9" s="167"/>
      <c r="AG9" s="167"/>
      <c r="AH9" s="167"/>
      <c r="AJ9" s="24" t="s">
        <v>18</v>
      </c>
    </row>
    <row r="10" spans="1:48" ht="16.5" customHeight="1" thickTop="1" x14ac:dyDescent="0.25">
      <c r="B10" s="6"/>
      <c r="D10" s="23"/>
      <c r="E10" s="25" t="s">
        <v>19</v>
      </c>
      <c r="F10" s="23"/>
      <c r="G10" s="23"/>
      <c r="H10" s="23"/>
      <c r="I10" s="23"/>
      <c r="J10" s="23"/>
      <c r="K10" s="23"/>
      <c r="L10" s="23"/>
      <c r="M10" s="23"/>
      <c r="T10" s="23"/>
      <c r="U10" s="23"/>
      <c r="V10" s="23"/>
      <c r="W10" s="23"/>
      <c r="X10" s="23"/>
      <c r="Y10" s="23"/>
      <c r="Z10" s="23"/>
      <c r="AA10" s="23"/>
      <c r="AB10" s="23"/>
      <c r="AC10" s="23"/>
      <c r="AD10" s="23"/>
      <c r="AE10" s="23"/>
      <c r="AF10" s="23"/>
      <c r="AG10" s="23"/>
      <c r="AH10" s="23"/>
      <c r="AJ10" s="4" t="s">
        <v>24</v>
      </c>
    </row>
    <row r="11" spans="1:48" ht="15.75" thickBot="1" x14ac:dyDescent="0.3">
      <c r="B11" s="26"/>
      <c r="C11" s="27" t="s">
        <v>20</v>
      </c>
      <c r="D11" s="28">
        <v>42339</v>
      </c>
      <c r="E11" s="29">
        <v>42370</v>
      </c>
      <c r="F11" s="28">
        <v>42401</v>
      </c>
      <c r="G11" s="28">
        <v>42430</v>
      </c>
      <c r="H11" s="28">
        <v>42461</v>
      </c>
      <c r="I11" s="28">
        <v>42491</v>
      </c>
      <c r="J11" s="28">
        <v>42522</v>
      </c>
      <c r="K11" s="28">
        <v>42552</v>
      </c>
      <c r="L11" s="28">
        <v>42583</v>
      </c>
      <c r="M11" s="28">
        <v>42614</v>
      </c>
      <c r="N11" s="28">
        <v>42644</v>
      </c>
      <c r="O11" s="28">
        <v>42675</v>
      </c>
      <c r="P11" s="28">
        <v>42705</v>
      </c>
      <c r="Q11" s="28">
        <v>42736</v>
      </c>
      <c r="R11" s="28">
        <v>42767</v>
      </c>
      <c r="S11" s="28">
        <v>42795</v>
      </c>
      <c r="T11" s="28">
        <v>42826</v>
      </c>
      <c r="U11" s="28">
        <v>42856</v>
      </c>
      <c r="V11" s="28">
        <v>42887</v>
      </c>
      <c r="W11" s="28">
        <v>42917</v>
      </c>
      <c r="X11" s="28">
        <v>42948</v>
      </c>
      <c r="Y11" s="28">
        <v>42979</v>
      </c>
      <c r="Z11" s="28">
        <v>43009</v>
      </c>
      <c r="AA11" s="28">
        <v>43040</v>
      </c>
      <c r="AB11" s="28">
        <v>43070</v>
      </c>
      <c r="AC11" s="28">
        <v>43101</v>
      </c>
      <c r="AD11" s="28">
        <v>43132</v>
      </c>
      <c r="AE11" s="28">
        <v>43160</v>
      </c>
      <c r="AF11" s="28">
        <v>43191</v>
      </c>
      <c r="AG11" s="28">
        <v>43221</v>
      </c>
      <c r="AH11" s="28">
        <v>43252</v>
      </c>
      <c r="AJ11" s="30" t="s">
        <v>76</v>
      </c>
    </row>
    <row r="12" spans="1:48" ht="21.75" customHeight="1" thickBot="1" x14ac:dyDescent="0.3">
      <c r="D12" s="31" t="s">
        <v>83</v>
      </c>
      <c r="AJ12" s="30" t="s">
        <v>75</v>
      </c>
    </row>
    <row r="13" spans="1:48" s="32" customFormat="1" ht="22.5" customHeight="1" thickTop="1" thickBot="1" x14ac:dyDescent="0.3">
      <c r="B13" s="6"/>
      <c r="C13" s="20" t="s">
        <v>21</v>
      </c>
      <c r="D13" s="153">
        <v>9.57</v>
      </c>
      <c r="E13" s="154">
        <v>9.39</v>
      </c>
      <c r="F13" s="155">
        <v>9.36</v>
      </c>
      <c r="G13" s="156">
        <v>9.36</v>
      </c>
      <c r="H13" s="157">
        <v>9.36</v>
      </c>
      <c r="I13" s="158">
        <v>9.35</v>
      </c>
      <c r="J13" s="159">
        <v>9.2100000000000009</v>
      </c>
      <c r="K13" s="160">
        <v>9.23</v>
      </c>
      <c r="L13" s="153">
        <v>9.11</v>
      </c>
      <c r="M13" s="154">
        <v>9.16</v>
      </c>
      <c r="N13" s="155">
        <v>9.1997378813501296</v>
      </c>
      <c r="O13" s="156">
        <v>9.1911032383698963</v>
      </c>
      <c r="P13" s="157">
        <v>8.8521555903643367</v>
      </c>
      <c r="Q13" s="158">
        <v>8.7760357150445802</v>
      </c>
      <c r="R13" s="159">
        <v>8.8031808900660327</v>
      </c>
      <c r="S13" s="160">
        <v>8.7668032043033257</v>
      </c>
      <c r="T13" s="168">
        <v>8.7770582110571151</v>
      </c>
      <c r="U13" s="169">
        <f>T13+X33</f>
        <v>8.7770582110571151</v>
      </c>
      <c r="V13" s="34">
        <f>U13+Y33</f>
        <v>8.7770582110571151</v>
      </c>
      <c r="W13" s="35">
        <f>V13</f>
        <v>8.7770582110571151</v>
      </c>
      <c r="X13" s="36">
        <f>W13+AA33</f>
        <v>8.6039409660533774</v>
      </c>
      <c r="Y13" s="37">
        <f>X13</f>
        <v>8.6039409660533774</v>
      </c>
      <c r="Z13" s="38">
        <f t="shared" ref="Z13:AE13" si="0">Y13</f>
        <v>8.6039409660533774</v>
      </c>
      <c r="AA13" s="39">
        <f t="shared" si="0"/>
        <v>8.6039409660533774</v>
      </c>
      <c r="AB13" s="40">
        <f t="shared" si="0"/>
        <v>8.6039409660533774</v>
      </c>
      <c r="AC13" s="33">
        <f t="shared" si="0"/>
        <v>8.6039409660533774</v>
      </c>
      <c r="AD13" s="34">
        <f t="shared" si="0"/>
        <v>8.6039409660533774</v>
      </c>
      <c r="AE13" s="35">
        <f t="shared" si="0"/>
        <v>8.6039409660533774</v>
      </c>
      <c r="AF13" s="36">
        <f t="shared" ref="AF13:AF14" si="1">AE13</f>
        <v>8.6039409660533774</v>
      </c>
      <c r="AG13" s="37">
        <f t="shared" ref="AG13:AG14" si="2">AF13</f>
        <v>8.6039409660533774</v>
      </c>
      <c r="AH13" s="38">
        <f t="shared" ref="AH13:AH14" si="3">AG13</f>
        <v>8.6039409660533774</v>
      </c>
      <c r="AI13" s="6"/>
      <c r="AJ13" s="24" t="s">
        <v>22</v>
      </c>
      <c r="AK13" s="6"/>
      <c r="AL13" s="6"/>
      <c r="AM13" s="6"/>
      <c r="AN13" s="6"/>
      <c r="AO13" s="6"/>
      <c r="AP13" s="6"/>
      <c r="AQ13" s="6"/>
      <c r="AR13" s="6"/>
      <c r="AS13" s="6"/>
      <c r="AT13" s="6"/>
      <c r="AU13" s="6"/>
      <c r="AV13" s="6"/>
    </row>
    <row r="14" spans="1:48" s="32" customFormat="1" ht="22.5" customHeight="1" thickTop="1" thickBot="1" x14ac:dyDescent="0.3">
      <c r="B14" s="41"/>
      <c r="C14" s="32" t="s">
        <v>23</v>
      </c>
      <c r="D14" s="42"/>
      <c r="E14" s="43">
        <f>E8</f>
        <v>7000</v>
      </c>
      <c r="F14" s="44">
        <f>E14</f>
        <v>7000</v>
      </c>
      <c r="G14" s="45">
        <f t="shared" ref="G14:X14" si="4">F14</f>
        <v>7000</v>
      </c>
      <c r="H14" s="46">
        <f t="shared" si="4"/>
        <v>7000</v>
      </c>
      <c r="I14" s="47">
        <f t="shared" si="4"/>
        <v>7000</v>
      </c>
      <c r="J14" s="48">
        <f t="shared" si="4"/>
        <v>7000</v>
      </c>
      <c r="K14" s="49">
        <f t="shared" si="4"/>
        <v>7000</v>
      </c>
      <c r="L14" s="152">
        <f t="shared" si="4"/>
        <v>7000</v>
      </c>
      <c r="M14" s="43">
        <f t="shared" si="4"/>
        <v>7000</v>
      </c>
      <c r="N14" s="44">
        <f t="shared" si="4"/>
        <v>7000</v>
      </c>
      <c r="O14" s="45">
        <f t="shared" si="4"/>
        <v>7000</v>
      </c>
      <c r="P14" s="46">
        <f t="shared" si="4"/>
        <v>7000</v>
      </c>
      <c r="Q14" s="47">
        <f t="shared" si="4"/>
        <v>7000</v>
      </c>
      <c r="R14" s="48">
        <f t="shared" si="4"/>
        <v>7000</v>
      </c>
      <c r="S14" s="49">
        <f t="shared" si="4"/>
        <v>7000</v>
      </c>
      <c r="T14" s="152">
        <f t="shared" si="4"/>
        <v>7000</v>
      </c>
      <c r="U14" s="51">
        <f t="shared" si="4"/>
        <v>7000</v>
      </c>
      <c r="V14" s="52">
        <f t="shared" si="4"/>
        <v>7000</v>
      </c>
      <c r="W14" s="53">
        <f t="shared" si="4"/>
        <v>7000</v>
      </c>
      <c r="X14" s="54">
        <f t="shared" si="4"/>
        <v>7000</v>
      </c>
      <c r="Y14" s="55">
        <f>X14</f>
        <v>7000</v>
      </c>
      <c r="Z14" s="56">
        <f t="shared" ref="Z14:AE14" si="5">Y14</f>
        <v>7000</v>
      </c>
      <c r="AA14" s="57">
        <f t="shared" si="5"/>
        <v>7000</v>
      </c>
      <c r="AB14" s="50">
        <f t="shared" si="5"/>
        <v>7000</v>
      </c>
      <c r="AC14" s="51">
        <f t="shared" si="5"/>
        <v>7000</v>
      </c>
      <c r="AD14" s="52">
        <f>AC14</f>
        <v>7000</v>
      </c>
      <c r="AE14" s="53">
        <f t="shared" si="5"/>
        <v>7000</v>
      </c>
      <c r="AF14" s="54">
        <f t="shared" si="1"/>
        <v>7000</v>
      </c>
      <c r="AG14" s="55">
        <f t="shared" si="2"/>
        <v>7000</v>
      </c>
      <c r="AH14" s="56">
        <f t="shared" si="3"/>
        <v>7000</v>
      </c>
      <c r="AI14" s="6"/>
      <c r="AJ14" s="58" t="s">
        <v>24</v>
      </c>
      <c r="AK14" s="59"/>
      <c r="AL14" s="59"/>
      <c r="AM14" s="59"/>
      <c r="AN14" s="59"/>
      <c r="AO14" s="6"/>
      <c r="AP14" s="6"/>
      <c r="AQ14" s="6"/>
      <c r="AR14" s="6"/>
      <c r="AS14" s="6"/>
      <c r="AT14" s="6"/>
      <c r="AU14" s="6"/>
      <c r="AV14" s="6"/>
    </row>
    <row r="15" spans="1:48" s="32" customFormat="1" ht="22.5" customHeight="1" thickTop="1" thickBot="1" x14ac:dyDescent="0.3">
      <c r="B15" s="6"/>
      <c r="C15" s="32" t="s">
        <v>25</v>
      </c>
      <c r="D15" s="60"/>
      <c r="E15" s="61"/>
      <c r="F15" s="51">
        <f>E14</f>
        <v>7000</v>
      </c>
      <c r="G15" s="52">
        <f t="shared" ref="G15:Y15" si="6">F14</f>
        <v>7000</v>
      </c>
      <c r="H15" s="53">
        <f t="shared" si="6"/>
        <v>7000</v>
      </c>
      <c r="I15" s="54">
        <f>H14</f>
        <v>7000</v>
      </c>
      <c r="J15" s="55">
        <f t="shared" si="6"/>
        <v>7000</v>
      </c>
      <c r="K15" s="56">
        <f t="shared" si="6"/>
        <v>7000</v>
      </c>
      <c r="L15" s="57">
        <f t="shared" si="6"/>
        <v>7000</v>
      </c>
      <c r="M15" s="50">
        <f t="shared" si="6"/>
        <v>7000</v>
      </c>
      <c r="N15" s="51">
        <f t="shared" si="6"/>
        <v>7000</v>
      </c>
      <c r="O15" s="52">
        <f t="shared" si="6"/>
        <v>7000</v>
      </c>
      <c r="P15" s="53">
        <f t="shared" si="6"/>
        <v>7000</v>
      </c>
      <c r="Q15" s="54">
        <f t="shared" si="6"/>
        <v>7000</v>
      </c>
      <c r="R15" s="55">
        <f t="shared" si="6"/>
        <v>7000</v>
      </c>
      <c r="S15" s="56">
        <f t="shared" si="6"/>
        <v>7000</v>
      </c>
      <c r="T15" s="57">
        <f t="shared" si="6"/>
        <v>7000</v>
      </c>
      <c r="U15" s="50">
        <f t="shared" si="6"/>
        <v>7000</v>
      </c>
      <c r="V15" s="51">
        <f t="shared" si="6"/>
        <v>7000</v>
      </c>
      <c r="W15" s="52">
        <f t="shared" si="6"/>
        <v>7000</v>
      </c>
      <c r="X15" s="53">
        <f t="shared" si="6"/>
        <v>7000</v>
      </c>
      <c r="Y15" s="54">
        <f t="shared" si="6"/>
        <v>7000</v>
      </c>
      <c r="Z15" s="55">
        <f t="shared" ref="Z15" si="7">Y14</f>
        <v>7000</v>
      </c>
      <c r="AA15" s="56">
        <f t="shared" ref="AA15" si="8">Z14</f>
        <v>7000</v>
      </c>
      <c r="AB15" s="57">
        <f t="shared" ref="AB15" si="9">AA14</f>
        <v>7000</v>
      </c>
      <c r="AC15" s="50">
        <f t="shared" ref="AC15" si="10">AB14</f>
        <v>7000</v>
      </c>
      <c r="AD15" s="51">
        <f t="shared" ref="AD15" si="11">AC14</f>
        <v>7000</v>
      </c>
      <c r="AE15" s="52">
        <f t="shared" ref="AE15:AF15" si="12">AD14</f>
        <v>7000</v>
      </c>
      <c r="AF15" s="53">
        <f t="shared" si="12"/>
        <v>7000</v>
      </c>
      <c r="AG15" s="54">
        <f t="shared" ref="AG15" si="13">AF14</f>
        <v>7000</v>
      </c>
      <c r="AH15" s="55">
        <f t="shared" ref="AH15" si="14">AG14</f>
        <v>7000</v>
      </c>
      <c r="AI15" s="6"/>
      <c r="AJ15" s="58"/>
      <c r="AK15" s="59"/>
      <c r="AL15" s="59"/>
      <c r="AM15" s="59"/>
      <c r="AN15" s="59"/>
      <c r="AO15" s="6"/>
      <c r="AP15" s="6"/>
      <c r="AQ15" s="6"/>
      <c r="AR15" s="6"/>
      <c r="AS15" s="6"/>
      <c r="AT15" s="6"/>
      <c r="AU15" s="6"/>
      <c r="AV15" s="6"/>
    </row>
    <row r="16" spans="1:48" s="32" customFormat="1" ht="22.5" customHeight="1" thickTop="1" thickBot="1" x14ac:dyDescent="0.3">
      <c r="A16" s="20"/>
      <c r="B16" s="6"/>
      <c r="C16" s="20" t="s">
        <v>26</v>
      </c>
      <c r="D16" s="60"/>
      <c r="E16" s="62"/>
      <c r="F16" s="62"/>
      <c r="G16" s="63">
        <f>D13*E14</f>
        <v>66990</v>
      </c>
      <c r="H16" s="64">
        <f t="shared" ref="H16:X16" si="15">E13*F14</f>
        <v>65730</v>
      </c>
      <c r="I16" s="65">
        <f t="shared" si="15"/>
        <v>65519.999999999993</v>
      </c>
      <c r="J16" s="66">
        <f t="shared" si="15"/>
        <v>65519.999999999993</v>
      </c>
      <c r="K16" s="67">
        <f t="shared" si="15"/>
        <v>65519.999999999993</v>
      </c>
      <c r="L16" s="68">
        <f t="shared" si="15"/>
        <v>65450</v>
      </c>
      <c r="M16" s="69">
        <f t="shared" si="15"/>
        <v>64470.000000000007</v>
      </c>
      <c r="N16" s="70">
        <f t="shared" si="15"/>
        <v>64610</v>
      </c>
      <c r="O16" s="63">
        <f t="shared" si="15"/>
        <v>63769.999999999993</v>
      </c>
      <c r="P16" s="64">
        <f t="shared" si="15"/>
        <v>64120</v>
      </c>
      <c r="Q16" s="65">
        <f t="shared" si="15"/>
        <v>64398.165169450906</v>
      </c>
      <c r="R16" s="66">
        <f>O13*P14</f>
        <v>64337.722668589275</v>
      </c>
      <c r="S16" s="67">
        <f>P13*Q14</f>
        <v>61965.089132550354</v>
      </c>
      <c r="T16" s="68">
        <f t="shared" si="15"/>
        <v>61432.25000531206</v>
      </c>
      <c r="U16" s="69">
        <f t="shared" si="15"/>
        <v>61622.266230462228</v>
      </c>
      <c r="V16" s="70">
        <f>S13*T14</f>
        <v>61367.62243012328</v>
      </c>
      <c r="W16" s="63">
        <f t="shared" si="15"/>
        <v>61439.407477399807</v>
      </c>
      <c r="X16" s="64">
        <f t="shared" si="15"/>
        <v>61439.407477399807</v>
      </c>
      <c r="Y16" s="65">
        <f>V13*W14</f>
        <v>61439.407477399807</v>
      </c>
      <c r="Z16" s="66">
        <f t="shared" ref="Z16:AE16" si="16">W13*X14</f>
        <v>61439.407477399807</v>
      </c>
      <c r="AA16" s="67">
        <f t="shared" si="16"/>
        <v>60227.586762373641</v>
      </c>
      <c r="AB16" s="68">
        <f t="shared" si="16"/>
        <v>60227.586762373641</v>
      </c>
      <c r="AC16" s="69">
        <f t="shared" si="16"/>
        <v>60227.586762373641</v>
      </c>
      <c r="AD16" s="70">
        <f t="shared" si="16"/>
        <v>60227.586762373641</v>
      </c>
      <c r="AE16" s="63">
        <f t="shared" si="16"/>
        <v>60227.586762373641</v>
      </c>
      <c r="AF16" s="64">
        <f t="shared" ref="AF16" si="17">AC13*AD14</f>
        <v>60227.586762373641</v>
      </c>
      <c r="AG16" s="65">
        <f>AD13*AE14</f>
        <v>60227.586762373641</v>
      </c>
      <c r="AH16" s="66">
        <f>AE13*AF14</f>
        <v>60227.586762373641</v>
      </c>
      <c r="AI16" s="6"/>
      <c r="AJ16" s="71" t="s">
        <v>27</v>
      </c>
      <c r="AK16" s="72"/>
      <c r="AL16" s="59"/>
      <c r="AM16" s="59"/>
      <c r="AN16" s="59"/>
      <c r="AO16" s="6"/>
      <c r="AP16" s="6"/>
      <c r="AQ16" s="6"/>
      <c r="AR16" s="6"/>
      <c r="AS16" s="6"/>
      <c r="AT16" s="6"/>
      <c r="AU16" s="6"/>
      <c r="AV16" s="6"/>
    </row>
    <row r="17" spans="1:54" s="32" customFormat="1" ht="22.5" customHeight="1" thickTop="1" thickBot="1" x14ac:dyDescent="0.3">
      <c r="A17" s="20"/>
      <c r="B17" s="20"/>
      <c r="C17" s="20" t="s">
        <v>28</v>
      </c>
      <c r="D17" s="60"/>
      <c r="E17" s="73"/>
      <c r="F17" s="62"/>
      <c r="G17" s="70">
        <f>-F16</f>
        <v>0</v>
      </c>
      <c r="H17" s="63">
        <f>-G16</f>
        <v>-66990</v>
      </c>
      <c r="I17" s="64">
        <f>-H16</f>
        <v>-65730</v>
      </c>
      <c r="J17" s="65">
        <f>-I16</f>
        <v>-65519.999999999993</v>
      </c>
      <c r="K17" s="66">
        <f t="shared" ref="K17:Y17" si="18">-J16</f>
        <v>-65519.999999999993</v>
      </c>
      <c r="L17" s="67">
        <f>-K16</f>
        <v>-65519.999999999993</v>
      </c>
      <c r="M17" s="68">
        <f t="shared" si="18"/>
        <v>-65450</v>
      </c>
      <c r="N17" s="69">
        <f t="shared" si="18"/>
        <v>-64470.000000000007</v>
      </c>
      <c r="O17" s="70">
        <f>-N16</f>
        <v>-64610</v>
      </c>
      <c r="P17" s="63">
        <f>-O16</f>
        <v>-63769.999999999993</v>
      </c>
      <c r="Q17" s="64">
        <f t="shared" si="18"/>
        <v>-64120</v>
      </c>
      <c r="R17" s="65">
        <f>-Q16</f>
        <v>-64398.165169450906</v>
      </c>
      <c r="S17" s="66">
        <f t="shared" si="18"/>
        <v>-64337.722668589275</v>
      </c>
      <c r="T17" s="67">
        <f t="shared" si="18"/>
        <v>-61965.089132550354</v>
      </c>
      <c r="U17" s="68">
        <f t="shared" si="18"/>
        <v>-61432.25000531206</v>
      </c>
      <c r="V17" s="69">
        <f t="shared" si="18"/>
        <v>-61622.266230462228</v>
      </c>
      <c r="W17" s="70">
        <f>-V16</f>
        <v>-61367.62243012328</v>
      </c>
      <c r="X17" s="63">
        <f>-W16</f>
        <v>-61439.407477399807</v>
      </c>
      <c r="Y17" s="64">
        <f t="shared" si="18"/>
        <v>-61439.407477399807</v>
      </c>
      <c r="Z17" s="65">
        <f t="shared" ref="Z17" si="19">-Y16</f>
        <v>-61439.407477399807</v>
      </c>
      <c r="AA17" s="66">
        <f t="shared" ref="AA17" si="20">-Z16</f>
        <v>-61439.407477399807</v>
      </c>
      <c r="AB17" s="67">
        <f t="shared" ref="AB17" si="21">-AA16</f>
        <v>-60227.586762373641</v>
      </c>
      <c r="AC17" s="68">
        <f t="shared" ref="AC17" si="22">-AB16</f>
        <v>-60227.586762373641</v>
      </c>
      <c r="AD17" s="69">
        <f t="shared" ref="AD17" si="23">-AC16</f>
        <v>-60227.586762373641</v>
      </c>
      <c r="AE17" s="70">
        <f t="shared" ref="AE17" si="24">-AD16</f>
        <v>-60227.586762373641</v>
      </c>
      <c r="AF17" s="63">
        <f t="shared" ref="AF17" si="25">-AE16</f>
        <v>-60227.586762373641</v>
      </c>
      <c r="AG17" s="64">
        <f t="shared" ref="AG17" si="26">-AF16</f>
        <v>-60227.586762373641</v>
      </c>
      <c r="AH17" s="65">
        <f>-AG16</f>
        <v>-60227.586762373641</v>
      </c>
      <c r="AI17" s="6"/>
      <c r="AJ17" s="71" t="s">
        <v>29</v>
      </c>
      <c r="AK17" s="72"/>
      <c r="AL17" s="59"/>
      <c r="AM17" s="59"/>
      <c r="AN17" s="59"/>
      <c r="AO17" s="6"/>
      <c r="AP17" s="6"/>
      <c r="AQ17" s="6"/>
      <c r="AR17" s="6"/>
      <c r="AS17" s="6"/>
      <c r="AT17" s="6"/>
      <c r="AU17" s="6"/>
      <c r="AV17" s="6"/>
    </row>
    <row r="18" spans="1:54" s="32" customFormat="1" ht="22.5" customHeight="1" thickTop="1" thickBot="1" x14ac:dyDescent="0.3">
      <c r="A18" s="20"/>
      <c r="B18" s="20"/>
      <c r="C18" s="20" t="s">
        <v>30</v>
      </c>
      <c r="D18" s="74"/>
      <c r="E18" s="62"/>
      <c r="F18" s="62"/>
      <c r="G18" s="70">
        <v>0</v>
      </c>
      <c r="H18" s="63">
        <f>E13*E14</f>
        <v>65730</v>
      </c>
      <c r="I18" s="64">
        <f t="shared" ref="I18:Y18" si="27">F13*F14</f>
        <v>65519.999999999993</v>
      </c>
      <c r="J18" s="65">
        <f t="shared" si="27"/>
        <v>65519.999999999993</v>
      </c>
      <c r="K18" s="66">
        <f t="shared" si="27"/>
        <v>65519.999999999993</v>
      </c>
      <c r="L18" s="67">
        <f t="shared" si="27"/>
        <v>65450</v>
      </c>
      <c r="M18" s="68">
        <f t="shared" si="27"/>
        <v>64470.000000000007</v>
      </c>
      <c r="N18" s="69">
        <f t="shared" si="27"/>
        <v>64610</v>
      </c>
      <c r="O18" s="70">
        <f t="shared" si="27"/>
        <v>63769.999999999993</v>
      </c>
      <c r="P18" s="63">
        <f t="shared" si="27"/>
        <v>64120</v>
      </c>
      <c r="Q18" s="64">
        <f t="shared" si="27"/>
        <v>64398.165169450906</v>
      </c>
      <c r="R18" s="65">
        <f t="shared" si="27"/>
        <v>64337.722668589275</v>
      </c>
      <c r="S18" s="66">
        <f>P13*P14</f>
        <v>61965.089132550354</v>
      </c>
      <c r="T18" s="67">
        <f t="shared" si="27"/>
        <v>61432.25000531206</v>
      </c>
      <c r="U18" s="68">
        <f t="shared" si="27"/>
        <v>61622.266230462228</v>
      </c>
      <c r="V18" s="69">
        <f t="shared" si="27"/>
        <v>61367.62243012328</v>
      </c>
      <c r="W18" s="70">
        <f>T13*T14</f>
        <v>61439.407477399807</v>
      </c>
      <c r="X18" s="63">
        <f t="shared" si="27"/>
        <v>61439.407477399807</v>
      </c>
      <c r="Y18" s="64">
        <f t="shared" si="27"/>
        <v>61439.407477399807</v>
      </c>
      <c r="Z18" s="65">
        <f t="shared" ref="Z18" si="28">W13*W14</f>
        <v>61439.407477399807</v>
      </c>
      <c r="AA18" s="66">
        <f t="shared" ref="AA18" si="29">X13*X14</f>
        <v>60227.586762373641</v>
      </c>
      <c r="AB18" s="67">
        <f t="shared" ref="AB18" si="30">Y13*Y14</f>
        <v>60227.586762373641</v>
      </c>
      <c r="AC18" s="68">
        <f t="shared" ref="AC18" si="31">Z13*Z14</f>
        <v>60227.586762373641</v>
      </c>
      <c r="AD18" s="69">
        <f t="shared" ref="AD18" si="32">AA13*AA14</f>
        <v>60227.586762373641</v>
      </c>
      <c r="AE18" s="70">
        <f t="shared" ref="AE18" si="33">AB13*AB14</f>
        <v>60227.586762373641</v>
      </c>
      <c r="AF18" s="63">
        <f t="shared" ref="AF18" si="34">AC13*AC14</f>
        <v>60227.586762373641</v>
      </c>
      <c r="AG18" s="64">
        <f t="shared" ref="AG18" si="35">AD13*AD14</f>
        <v>60227.586762373641</v>
      </c>
      <c r="AH18" s="65">
        <f t="shared" ref="AH18" si="36">AE13*AE14</f>
        <v>60227.586762373641</v>
      </c>
      <c r="AI18" s="6"/>
      <c r="AJ18" s="71" t="s">
        <v>31</v>
      </c>
      <c r="AK18" s="72"/>
      <c r="AL18" s="59"/>
      <c r="AM18" s="59"/>
      <c r="AN18" s="59"/>
      <c r="AO18" s="6"/>
      <c r="AP18" s="6"/>
      <c r="AQ18" s="6"/>
      <c r="AR18" s="6"/>
      <c r="AS18" s="6"/>
      <c r="AT18" s="6"/>
      <c r="AU18" s="6"/>
      <c r="AV18" s="6"/>
      <c r="AW18" s="6"/>
      <c r="AZ18" s="81"/>
      <c r="BA18" s="81"/>
      <c r="BB18" s="81"/>
    </row>
    <row r="19" spans="1:54" s="32" customFormat="1" ht="22.5" customHeight="1" thickTop="1" thickBot="1" x14ac:dyDescent="0.3">
      <c r="A19" s="20"/>
      <c r="B19" s="20"/>
      <c r="C19" s="75" t="s">
        <v>32</v>
      </c>
      <c r="D19" s="76"/>
      <c r="E19" s="77">
        <f t="shared" ref="E19" si="37">E18+E17+E16</f>
        <v>0</v>
      </c>
      <c r="F19" s="77">
        <f>F18+F17+F16</f>
        <v>0</v>
      </c>
      <c r="G19" s="77">
        <f>G18+G17+G16</f>
        <v>66990</v>
      </c>
      <c r="H19" s="77">
        <f>H18+H17+H16</f>
        <v>64470</v>
      </c>
      <c r="I19" s="77">
        <f>I18+I17+I16</f>
        <v>65309.999999999985</v>
      </c>
      <c r="J19" s="77">
        <f>J18+J17+J16</f>
        <v>65519.999999999993</v>
      </c>
      <c r="K19" s="77">
        <f t="shared" ref="K19:X19" si="38">K18+K17+K16</f>
        <v>65519.999999999993</v>
      </c>
      <c r="L19" s="77">
        <f t="shared" si="38"/>
        <v>65380.000000000007</v>
      </c>
      <c r="M19" s="77">
        <f t="shared" si="38"/>
        <v>63490.000000000015</v>
      </c>
      <c r="N19" s="77">
        <f t="shared" si="38"/>
        <v>64749.999999999993</v>
      </c>
      <c r="O19" s="77">
        <f t="shared" si="38"/>
        <v>62929.999999999985</v>
      </c>
      <c r="P19" s="77">
        <f t="shared" si="38"/>
        <v>64470.000000000007</v>
      </c>
      <c r="Q19" s="77">
        <f>Q18+Q17+Q16</f>
        <v>64676.330338901811</v>
      </c>
      <c r="R19" s="77">
        <f>R18+R17+R16</f>
        <v>64277.280167727644</v>
      </c>
      <c r="S19" s="77">
        <f t="shared" si="38"/>
        <v>59592.455596511434</v>
      </c>
      <c r="T19" s="77">
        <f t="shared" si="38"/>
        <v>60899.410878073766</v>
      </c>
      <c r="U19" s="77">
        <f t="shared" si="38"/>
        <v>61812.282455612396</v>
      </c>
      <c r="V19" s="77">
        <f>V18+V17+V16</f>
        <v>61112.978629784331</v>
      </c>
      <c r="W19" s="77">
        <f>W18+W17+W16</f>
        <v>61511.192524676335</v>
      </c>
      <c r="X19" s="77">
        <f t="shared" si="38"/>
        <v>61439.407477399807</v>
      </c>
      <c r="Y19" s="77">
        <f>Y18+Y17+Y16</f>
        <v>61439.407477399807</v>
      </c>
      <c r="Z19" s="77">
        <f t="shared" ref="Z19:AD19" si="39">Z18+Z17+Z16</f>
        <v>61439.407477399807</v>
      </c>
      <c r="AA19" s="77">
        <f t="shared" si="39"/>
        <v>59015.766047347475</v>
      </c>
      <c r="AB19" s="77">
        <f t="shared" si="39"/>
        <v>60227.586762373641</v>
      </c>
      <c r="AC19" s="77">
        <f t="shared" si="39"/>
        <v>60227.586762373641</v>
      </c>
      <c r="AD19" s="77">
        <f t="shared" si="39"/>
        <v>60227.586762373641</v>
      </c>
      <c r="AE19" s="77">
        <f>AE18+AE17+AE16</f>
        <v>60227.586762373641</v>
      </c>
      <c r="AF19" s="77">
        <f t="shared" ref="AF19:AH19" si="40">AF18+AF17+AF16</f>
        <v>60227.586762373641</v>
      </c>
      <c r="AG19" s="77">
        <f t="shared" si="40"/>
        <v>60227.586762373641</v>
      </c>
      <c r="AH19" s="77">
        <f t="shared" si="40"/>
        <v>60227.586762373641</v>
      </c>
      <c r="AI19" s="6"/>
      <c r="AJ19" s="71" t="s">
        <v>33</v>
      </c>
      <c r="AK19" s="72"/>
      <c r="AL19" s="59"/>
      <c r="AM19" s="59"/>
      <c r="AN19" s="59"/>
      <c r="AO19" s="6"/>
      <c r="AP19" s="6"/>
      <c r="AQ19" s="6"/>
      <c r="AR19" s="6"/>
      <c r="AS19" s="6"/>
      <c r="AT19" s="6"/>
      <c r="AU19" s="6"/>
      <c r="AV19" s="6"/>
    </row>
    <row r="20" spans="1:54" s="32" customFormat="1" ht="22.5" customHeight="1" thickTop="1" x14ac:dyDescent="0.25">
      <c r="A20" s="20"/>
      <c r="B20" s="78"/>
      <c r="C20" s="13"/>
      <c r="D20" s="13"/>
      <c r="E20" s="13"/>
      <c r="F20" s="13"/>
      <c r="G20" s="13"/>
      <c r="H20" s="6"/>
      <c r="I20" s="6"/>
      <c r="J20" s="6"/>
      <c r="K20" s="6"/>
      <c r="L20" s="6"/>
      <c r="M20" s="6"/>
      <c r="N20" s="6"/>
      <c r="O20" s="6"/>
      <c r="P20" s="6"/>
      <c r="Q20" s="6"/>
      <c r="R20" s="6"/>
      <c r="S20" s="6"/>
      <c r="T20" s="6"/>
      <c r="U20" s="6"/>
      <c r="V20" s="6"/>
      <c r="W20" s="6"/>
      <c r="X20" s="17"/>
      <c r="Y20" s="6"/>
      <c r="Z20" s="6"/>
      <c r="AA20" s="6"/>
      <c r="AB20" s="6"/>
      <c r="AC20" s="6"/>
      <c r="AD20" s="6"/>
      <c r="AE20" s="6"/>
      <c r="AF20" s="6"/>
      <c r="AG20" s="6"/>
      <c r="AH20" s="6"/>
      <c r="AI20" s="6"/>
      <c r="AJ20" s="71" t="s">
        <v>77</v>
      </c>
      <c r="AL20" s="59"/>
      <c r="AM20" s="59"/>
      <c r="AN20" s="59"/>
      <c r="AO20" s="6"/>
      <c r="AP20" s="6"/>
      <c r="AQ20" s="6"/>
      <c r="AR20" s="6"/>
      <c r="AS20" s="6"/>
    </row>
    <row r="21" spans="1:54" s="32" customFormat="1" ht="18.75" customHeight="1" thickBot="1" x14ac:dyDescent="0.3">
      <c r="A21" s="20"/>
      <c r="B21" s="78"/>
      <c r="C21" s="13"/>
      <c r="D21" s="13"/>
      <c r="E21" s="13"/>
      <c r="F21" s="13"/>
      <c r="G21" s="13"/>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71"/>
      <c r="AK21" s="72"/>
      <c r="AL21" s="59"/>
      <c r="AM21" s="59"/>
      <c r="AN21" s="59"/>
      <c r="AO21" s="6"/>
      <c r="AP21" s="6"/>
      <c r="AR21" s="6"/>
    </row>
    <row r="22" spans="1:54" s="32" customFormat="1" ht="18.75" customHeight="1" thickTop="1" thickBot="1" x14ac:dyDescent="0.3">
      <c r="A22" s="20"/>
      <c r="B22" s="78"/>
      <c r="C22" s="79" t="s">
        <v>34</v>
      </c>
      <c r="D22" s="80"/>
      <c r="E22" s="80"/>
      <c r="F22" s="80"/>
      <c r="G22" s="80"/>
      <c r="H22" s="63">
        <f t="shared" ref="H22:AE22" si="41">E14*$AN$63</f>
        <v>677.21916109775543</v>
      </c>
      <c r="I22" s="64">
        <f t="shared" si="41"/>
        <v>677.21916109775543</v>
      </c>
      <c r="J22" s="65">
        <f t="shared" si="41"/>
        <v>677.21916109775543</v>
      </c>
      <c r="K22" s="66">
        <f t="shared" si="41"/>
        <v>677.21916109775543</v>
      </c>
      <c r="L22" s="67">
        <f t="shared" si="41"/>
        <v>677.21916109775543</v>
      </c>
      <c r="M22" s="68">
        <f t="shared" si="41"/>
        <v>677.21916109775543</v>
      </c>
      <c r="N22" s="69">
        <f t="shared" si="41"/>
        <v>677.21916109775543</v>
      </c>
      <c r="O22" s="70">
        <f t="shared" si="41"/>
        <v>677.21916109775543</v>
      </c>
      <c r="P22" s="63">
        <f t="shared" si="41"/>
        <v>677.21916109775543</v>
      </c>
      <c r="Q22" s="64">
        <f t="shared" si="41"/>
        <v>677.21916109775543</v>
      </c>
      <c r="R22" s="65">
        <f t="shared" si="41"/>
        <v>677.21916109775543</v>
      </c>
      <c r="S22" s="66">
        <f t="shared" si="41"/>
        <v>677.21916109775543</v>
      </c>
      <c r="T22" s="67">
        <f t="shared" si="41"/>
        <v>677.21916109775543</v>
      </c>
      <c r="U22" s="68">
        <f t="shared" si="41"/>
        <v>677.21916109775543</v>
      </c>
      <c r="V22" s="69">
        <f t="shared" si="41"/>
        <v>677.21916109775543</v>
      </c>
      <c r="W22" s="70">
        <f t="shared" si="41"/>
        <v>677.21916109775543</v>
      </c>
      <c r="X22" s="63">
        <f t="shared" si="41"/>
        <v>677.21916109775543</v>
      </c>
      <c r="Y22" s="64">
        <f t="shared" si="41"/>
        <v>677.21916109775543</v>
      </c>
      <c r="Z22" s="65">
        <f t="shared" si="41"/>
        <v>677.21916109775543</v>
      </c>
      <c r="AA22" s="66">
        <f t="shared" si="41"/>
        <v>677.21916109775543</v>
      </c>
      <c r="AB22" s="67">
        <f t="shared" si="41"/>
        <v>677.21916109775543</v>
      </c>
      <c r="AC22" s="68">
        <f t="shared" si="41"/>
        <v>677.21916109775543</v>
      </c>
      <c r="AD22" s="69">
        <f t="shared" si="41"/>
        <v>677.21916109775543</v>
      </c>
      <c r="AE22" s="70">
        <f t="shared" si="41"/>
        <v>677.21916109775543</v>
      </c>
      <c r="AF22" s="63">
        <f t="shared" ref="AF22:AH22" si="42">AC14*$AN$63</f>
        <v>677.21916109775543</v>
      </c>
      <c r="AG22" s="64">
        <f t="shared" si="42"/>
        <v>677.21916109775543</v>
      </c>
      <c r="AH22" s="65">
        <f t="shared" si="42"/>
        <v>677.21916109775543</v>
      </c>
      <c r="AI22" s="6"/>
      <c r="AJ22" s="30"/>
      <c r="AK22" s="13"/>
      <c r="AL22" s="6"/>
      <c r="AM22" s="6"/>
      <c r="AN22" s="6"/>
      <c r="AO22" s="6"/>
      <c r="AP22" s="6"/>
      <c r="AQ22" s="81"/>
      <c r="AR22" s="82"/>
      <c r="AS22" s="81"/>
      <c r="AT22" s="82"/>
      <c r="AU22" s="81"/>
      <c r="AV22" s="81"/>
      <c r="AW22" s="81"/>
    </row>
    <row r="23" spans="1:54" s="32" customFormat="1" ht="18.75" customHeight="1" thickTop="1" thickBot="1" x14ac:dyDescent="0.3">
      <c r="A23" s="20"/>
      <c r="C23" s="79" t="s">
        <v>35</v>
      </c>
      <c r="D23" s="80"/>
      <c r="E23" s="80"/>
      <c r="F23" s="80"/>
      <c r="G23" s="80"/>
      <c r="H23" s="63">
        <f t="shared" ref="H23:R23" si="43">IF(E14&lt;$AK$76,0,IF(E14&lt;$AK$77,$AN$76,IF(E14&lt;$AK$78,$AN$77,$AN$78)))</f>
        <v>2091.6666666666665</v>
      </c>
      <c r="I23" s="64">
        <f t="shared" si="43"/>
        <v>2091.6666666666665</v>
      </c>
      <c r="J23" s="65">
        <f t="shared" si="43"/>
        <v>2091.6666666666665</v>
      </c>
      <c r="K23" s="66">
        <f t="shared" si="43"/>
        <v>2091.6666666666665</v>
      </c>
      <c r="L23" s="67">
        <f t="shared" si="43"/>
        <v>2091.6666666666665</v>
      </c>
      <c r="M23" s="68">
        <f t="shared" si="43"/>
        <v>2091.6666666666665</v>
      </c>
      <c r="N23" s="69">
        <f t="shared" si="43"/>
        <v>2091.6666666666665</v>
      </c>
      <c r="O23" s="70">
        <f t="shared" si="43"/>
        <v>2091.6666666666665</v>
      </c>
      <c r="P23" s="63">
        <f t="shared" si="43"/>
        <v>2091.6666666666665</v>
      </c>
      <c r="Q23" s="64">
        <f t="shared" si="43"/>
        <v>2091.6666666666665</v>
      </c>
      <c r="R23" s="65">
        <f t="shared" si="43"/>
        <v>2091.6666666666665</v>
      </c>
      <c r="S23" s="66">
        <f>IF(P14&lt;$AK$83,0,IF(P14&lt;$AK$84,$AN$83,IF(P14&lt;$AK$85,$AN$84,$AN$85)))</f>
        <v>1673.3333333333333</v>
      </c>
      <c r="T23" s="67">
        <f>IF(R14&lt;$AK$83,0,IF(R14&lt;$AK$84,$AN$83,IF(R14&lt;$AK$85,$AN$84,$AN$85)))</f>
        <v>1673.3333333333333</v>
      </c>
      <c r="U23" s="68">
        <f>IF(S14&lt;$AK$83,0,IF(S14&lt;$AK$84,$AN$83,IF(S14&lt;$AK$85,$AN$84,$AN$85)))</f>
        <v>1673.3333333333333</v>
      </c>
      <c r="V23" s="69">
        <f>IF(T14&lt;$AK$83,0,IF(T14&lt;$AK$84,$AN$83,IF(T14&lt;$AK$85,$AN$84,$AN$85)))</f>
        <v>1673.3333333333333</v>
      </c>
      <c r="W23" s="70">
        <f t="shared" ref="W23:AE23" si="44">IF(U14&lt;$AK$92,0,IF(U14&lt;$AK$93,$AN$92,IF(U14&lt;$AK$94,$AN$93,$AN$94)))</f>
        <v>1255</v>
      </c>
      <c r="X23" s="63">
        <f t="shared" si="44"/>
        <v>1255</v>
      </c>
      <c r="Y23" s="64">
        <f t="shared" si="44"/>
        <v>1255</v>
      </c>
      <c r="Z23" s="65">
        <f t="shared" si="44"/>
        <v>1255</v>
      </c>
      <c r="AA23" s="66">
        <f t="shared" si="44"/>
        <v>1255</v>
      </c>
      <c r="AB23" s="67">
        <f t="shared" si="44"/>
        <v>1255</v>
      </c>
      <c r="AC23" s="68">
        <f t="shared" si="44"/>
        <v>1255</v>
      </c>
      <c r="AD23" s="69">
        <f t="shared" si="44"/>
        <v>1255</v>
      </c>
      <c r="AE23" s="70">
        <f t="shared" si="44"/>
        <v>1255</v>
      </c>
      <c r="AF23" s="63">
        <f t="shared" ref="AF23:AH23" si="45">IF(AD14&lt;$AK$92,0,IF(AD14&lt;$AK$93,$AN$92,IF(AD14&lt;$AK$94,$AN$93,$AN$94)))</f>
        <v>1255</v>
      </c>
      <c r="AG23" s="64">
        <f t="shared" si="45"/>
        <v>1255</v>
      </c>
      <c r="AH23" s="65">
        <f t="shared" si="45"/>
        <v>1255</v>
      </c>
      <c r="AI23" s="6"/>
      <c r="AJ23" s="83" t="s">
        <v>36</v>
      </c>
      <c r="AK23" s="84"/>
      <c r="AL23" s="84"/>
      <c r="AM23" s="84"/>
      <c r="AN23" s="84"/>
      <c r="AO23" s="6"/>
      <c r="AP23" s="6"/>
      <c r="AQ23" s="85"/>
      <c r="AR23" s="86"/>
      <c r="AS23" s="81"/>
      <c r="AT23" s="87"/>
      <c r="AU23" s="81"/>
      <c r="AV23" s="81"/>
      <c r="AW23" s="81"/>
    </row>
    <row r="24" spans="1:54" s="32" customFormat="1" ht="18.75" customHeight="1" thickTop="1" thickBot="1" x14ac:dyDescent="0.3">
      <c r="A24" s="20"/>
      <c r="B24" s="78"/>
      <c r="C24" s="79" t="s">
        <v>37</v>
      </c>
      <c r="D24" s="80"/>
      <c r="E24" s="80"/>
      <c r="F24" s="80"/>
      <c r="G24" s="80"/>
      <c r="H24" s="63">
        <f t="shared" ref="H24:R24" si="46">E14*$AN$61+125+200</f>
        <v>6625</v>
      </c>
      <c r="I24" s="64">
        <f t="shared" si="46"/>
        <v>6625</v>
      </c>
      <c r="J24" s="65">
        <f t="shared" si="46"/>
        <v>6625</v>
      </c>
      <c r="K24" s="66">
        <f t="shared" si="46"/>
        <v>6625</v>
      </c>
      <c r="L24" s="67">
        <f t="shared" si="46"/>
        <v>6625</v>
      </c>
      <c r="M24" s="68">
        <f t="shared" si="46"/>
        <v>6625</v>
      </c>
      <c r="N24" s="69">
        <f t="shared" si="46"/>
        <v>6625</v>
      </c>
      <c r="O24" s="70">
        <f t="shared" si="46"/>
        <v>6625</v>
      </c>
      <c r="P24" s="63">
        <f t="shared" si="46"/>
        <v>6625</v>
      </c>
      <c r="Q24" s="64">
        <f t="shared" si="46"/>
        <v>6625</v>
      </c>
      <c r="R24" s="65">
        <f t="shared" si="46"/>
        <v>6625</v>
      </c>
      <c r="S24" s="66">
        <v>0</v>
      </c>
      <c r="T24" s="67">
        <v>0</v>
      </c>
      <c r="U24" s="68">
        <v>0</v>
      </c>
      <c r="V24" s="69">
        <v>0</v>
      </c>
      <c r="W24" s="70">
        <v>0</v>
      </c>
      <c r="X24" s="63">
        <v>0</v>
      </c>
      <c r="Y24" s="64">
        <v>0</v>
      </c>
      <c r="Z24" s="65">
        <v>0</v>
      </c>
      <c r="AA24" s="66">
        <v>0</v>
      </c>
      <c r="AB24" s="67">
        <v>0</v>
      </c>
      <c r="AC24" s="68">
        <v>0</v>
      </c>
      <c r="AD24" s="69">
        <v>0</v>
      </c>
      <c r="AE24" s="70">
        <v>0</v>
      </c>
      <c r="AF24" s="63">
        <v>0</v>
      </c>
      <c r="AG24" s="64">
        <v>0</v>
      </c>
      <c r="AH24" s="65">
        <v>0</v>
      </c>
      <c r="AI24" s="6"/>
      <c r="AJ24" s="84"/>
      <c r="AK24" s="84"/>
      <c r="AL24" s="84"/>
      <c r="AM24" s="196" t="s">
        <v>0</v>
      </c>
      <c r="AN24" s="196" t="s">
        <v>1</v>
      </c>
      <c r="AO24" s="6"/>
      <c r="AP24" s="6"/>
      <c r="AQ24" s="85"/>
      <c r="AR24" s="86"/>
      <c r="AS24" s="81"/>
      <c r="AT24" s="81"/>
      <c r="AU24" s="81"/>
      <c r="AV24" s="81"/>
      <c r="AW24" s="81"/>
    </row>
    <row r="25" spans="1:54" s="32" customFormat="1" ht="18.75" customHeight="1" thickTop="1" thickBot="1" x14ac:dyDescent="0.3">
      <c r="A25" s="20"/>
      <c r="B25" s="78"/>
      <c r="C25" s="79" t="s">
        <v>38</v>
      </c>
      <c r="D25" s="80"/>
      <c r="E25" s="80"/>
      <c r="F25" s="80"/>
      <c r="G25" s="80"/>
      <c r="H25" s="63">
        <f t="shared" ref="H25:N25" si="47">(IF(E14&lt;$AK$27,$AN$26,IF(E14&lt;$AK$28,$AN$27,IF(E14&lt;$AK$29,$AN$28,E14*$AM$29))))</f>
        <v>3947.9999999999995</v>
      </c>
      <c r="I25" s="64">
        <f t="shared" si="47"/>
        <v>3947.9999999999995</v>
      </c>
      <c r="J25" s="65">
        <f t="shared" si="47"/>
        <v>3947.9999999999995</v>
      </c>
      <c r="K25" s="66">
        <f t="shared" si="47"/>
        <v>3947.9999999999995</v>
      </c>
      <c r="L25" s="67">
        <f t="shared" si="47"/>
        <v>3947.9999999999995</v>
      </c>
      <c r="M25" s="68">
        <f t="shared" si="47"/>
        <v>3947.9999999999995</v>
      </c>
      <c r="N25" s="69">
        <f t="shared" si="47"/>
        <v>3947.9999999999995</v>
      </c>
      <c r="O25" s="70">
        <f>(IF(L14&lt;$AK$43,$AN$42,IF(L14&lt;$AK$44,$AN$43,IF(L14&lt;$AK$45,$AN$44,L14*$AM$45))))</f>
        <v>3066</v>
      </c>
      <c r="P25" s="63">
        <f>(IF(M14&lt;$AK$43,$AN$42,IF(M14&lt;$AK$44,$AN$43,IF(M14&lt;$AK$45,$AN$44,M14*$AM$45))))</f>
        <v>3066</v>
      </c>
      <c r="Q25" s="64">
        <f>(IF(N14&lt;$AK$51,$AN$50,IF(N14&lt;$AK$52,$AN$51,IF(N14&lt;$AK$53,$AN$52,N14*$AM$53))))</f>
        <v>3654</v>
      </c>
      <c r="R25" s="65">
        <f>(IF(O14&lt;$AK$51,$AN$50,IF(O14&lt;$AK$52,$AN$51,IF(O14&lt;$AK$53,$AN$52,O14*$AM$53))))</f>
        <v>3654</v>
      </c>
      <c r="S25" s="66">
        <v>0</v>
      </c>
      <c r="T25" s="67">
        <v>0</v>
      </c>
      <c r="U25" s="68">
        <v>0</v>
      </c>
      <c r="V25" s="69">
        <v>0</v>
      </c>
      <c r="W25" s="70">
        <v>0</v>
      </c>
      <c r="X25" s="63">
        <v>0</v>
      </c>
      <c r="Y25" s="64">
        <v>0</v>
      </c>
      <c r="Z25" s="65">
        <v>0</v>
      </c>
      <c r="AA25" s="66">
        <v>0</v>
      </c>
      <c r="AB25" s="67">
        <v>0</v>
      </c>
      <c r="AC25" s="68">
        <v>0</v>
      </c>
      <c r="AD25" s="69">
        <v>0</v>
      </c>
      <c r="AE25" s="70">
        <v>0</v>
      </c>
      <c r="AF25" s="63">
        <v>0</v>
      </c>
      <c r="AG25" s="64">
        <v>0</v>
      </c>
      <c r="AH25" s="65">
        <v>0</v>
      </c>
      <c r="AI25" s="6"/>
      <c r="AJ25" s="84"/>
      <c r="AK25" s="88" t="s">
        <v>2</v>
      </c>
      <c r="AL25" s="88" t="s">
        <v>3</v>
      </c>
      <c r="AM25" s="196"/>
      <c r="AN25" s="196"/>
      <c r="AO25" s="6"/>
      <c r="AP25" s="6"/>
      <c r="AQ25" s="85"/>
      <c r="AR25" s="86"/>
      <c r="AS25" s="81"/>
      <c r="AT25" s="81"/>
      <c r="AU25" s="81"/>
      <c r="AV25" s="81"/>
      <c r="AW25" s="81"/>
    </row>
    <row r="26" spans="1:54" s="32" customFormat="1" ht="18.75" customHeight="1" thickTop="1" thickBot="1" x14ac:dyDescent="0.3">
      <c r="A26" s="20"/>
      <c r="B26" s="78"/>
      <c r="C26" s="79" t="s">
        <v>7</v>
      </c>
      <c r="D26" s="79"/>
      <c r="E26" s="79"/>
      <c r="F26" s="79"/>
      <c r="G26" s="79"/>
      <c r="H26" s="63">
        <v>0</v>
      </c>
      <c r="I26" s="64">
        <v>0</v>
      </c>
      <c r="J26" s="65">
        <v>0</v>
      </c>
      <c r="K26" s="66">
        <v>0</v>
      </c>
      <c r="L26" s="67">
        <v>0</v>
      </c>
      <c r="M26" s="68">
        <v>0</v>
      </c>
      <c r="N26" s="69">
        <v>0</v>
      </c>
      <c r="O26" s="70">
        <v>0</v>
      </c>
      <c r="P26" s="63">
        <v>0</v>
      </c>
      <c r="Q26" s="64">
        <v>0</v>
      </c>
      <c r="R26" s="65">
        <v>0</v>
      </c>
      <c r="S26" s="66">
        <f>P14*$AM$87</f>
        <v>7909.9999999999991</v>
      </c>
      <c r="T26" s="67">
        <f>Q14*$AM$87</f>
        <v>7909.9999999999991</v>
      </c>
      <c r="U26" s="68">
        <f>R14*$AM$87</f>
        <v>7909.9999999999991</v>
      </c>
      <c r="V26" s="69">
        <f>S14*$AM$87</f>
        <v>7909.9999999999991</v>
      </c>
      <c r="W26" s="70">
        <f t="shared" ref="W26:AE26" si="48">T14*$AM$96</f>
        <v>8750</v>
      </c>
      <c r="X26" s="63">
        <f t="shared" si="48"/>
        <v>8750</v>
      </c>
      <c r="Y26" s="64">
        <f t="shared" si="48"/>
        <v>8750</v>
      </c>
      <c r="Z26" s="65">
        <f t="shared" si="48"/>
        <v>8750</v>
      </c>
      <c r="AA26" s="66">
        <f t="shared" si="48"/>
        <v>8750</v>
      </c>
      <c r="AB26" s="67">
        <f t="shared" si="48"/>
        <v>8750</v>
      </c>
      <c r="AC26" s="68">
        <f t="shared" si="48"/>
        <v>8750</v>
      </c>
      <c r="AD26" s="69">
        <f t="shared" si="48"/>
        <v>8750</v>
      </c>
      <c r="AE26" s="70">
        <f t="shared" si="48"/>
        <v>8750</v>
      </c>
      <c r="AF26" s="63">
        <f t="shared" ref="AF26:AH26" si="49">AC14*$AM$96</f>
        <v>8750</v>
      </c>
      <c r="AG26" s="64">
        <f t="shared" si="49"/>
        <v>8750</v>
      </c>
      <c r="AH26" s="65">
        <f t="shared" si="49"/>
        <v>8750</v>
      </c>
      <c r="AI26" s="6"/>
      <c r="AJ26" s="89"/>
      <c r="AK26" s="89">
        <v>0</v>
      </c>
      <c r="AL26" s="89">
        <v>1099</v>
      </c>
      <c r="AM26" s="90">
        <v>250</v>
      </c>
      <c r="AN26" s="90">
        <f>AM26/5</f>
        <v>50</v>
      </c>
      <c r="AO26" s="6"/>
      <c r="AP26" s="6"/>
      <c r="AQ26" s="85"/>
      <c r="AR26" s="86"/>
      <c r="AS26" s="81"/>
      <c r="AT26" s="81"/>
      <c r="AU26" s="81"/>
      <c r="AV26" s="91"/>
      <c r="AW26" s="81"/>
    </row>
    <row r="27" spans="1:54" ht="16.5" thickTop="1" thickBot="1" x14ac:dyDescent="0.3">
      <c r="A27" s="20"/>
      <c r="B27" s="78"/>
      <c r="C27" s="79" t="s">
        <v>39</v>
      </c>
      <c r="D27" s="79"/>
      <c r="E27" s="79"/>
      <c r="F27" s="79"/>
      <c r="G27" s="79"/>
      <c r="H27" s="63">
        <v>0</v>
      </c>
      <c r="I27" s="64">
        <v>0</v>
      </c>
      <c r="J27" s="65">
        <v>0</v>
      </c>
      <c r="K27" s="66">
        <v>0</v>
      </c>
      <c r="L27" s="67">
        <v>0</v>
      </c>
      <c r="M27" s="68">
        <v>0</v>
      </c>
      <c r="N27" s="69">
        <v>0</v>
      </c>
      <c r="O27" s="70">
        <v>0</v>
      </c>
      <c r="P27" s="63">
        <v>0</v>
      </c>
      <c r="Q27" s="64">
        <v>0</v>
      </c>
      <c r="R27" s="65">
        <v>0</v>
      </c>
      <c r="S27" s="66">
        <v>0</v>
      </c>
      <c r="T27" s="67">
        <v>0</v>
      </c>
      <c r="U27" s="68">
        <v>0</v>
      </c>
      <c r="V27" s="69">
        <v>0</v>
      </c>
      <c r="W27" s="70">
        <f>AN98</f>
        <v>4640</v>
      </c>
      <c r="X27" s="63">
        <v>0</v>
      </c>
      <c r="Y27" s="64">
        <v>0</v>
      </c>
      <c r="Z27" s="65">
        <v>0</v>
      </c>
      <c r="AA27" s="66">
        <v>0</v>
      </c>
      <c r="AB27" s="67">
        <v>0</v>
      </c>
      <c r="AC27" s="68">
        <v>0</v>
      </c>
      <c r="AD27" s="69">
        <f>AN99</f>
        <v>1760</v>
      </c>
      <c r="AE27" s="70">
        <v>0</v>
      </c>
      <c r="AF27" s="63">
        <v>0</v>
      </c>
      <c r="AG27" s="64">
        <v>0</v>
      </c>
      <c r="AH27" s="65">
        <v>0</v>
      </c>
      <c r="AI27" s="92"/>
      <c r="AJ27" s="89"/>
      <c r="AK27" s="89">
        <v>1100</v>
      </c>
      <c r="AL27" s="89">
        <v>1599</v>
      </c>
      <c r="AM27" s="90">
        <v>2407</v>
      </c>
      <c r="AN27" s="90">
        <f t="shared" ref="AN27:AN28" si="50">AM27/5</f>
        <v>481.4</v>
      </c>
      <c r="AO27" s="32"/>
      <c r="AP27" s="32"/>
      <c r="AQ27" s="85"/>
      <c r="AR27" s="86"/>
      <c r="AS27" s="81"/>
      <c r="AT27" s="81"/>
      <c r="AU27" s="85"/>
      <c r="AV27" s="86"/>
      <c r="AW27" s="81"/>
    </row>
    <row r="28" spans="1:54" ht="15.75" thickTop="1" x14ac:dyDescent="0.25">
      <c r="A28" s="20"/>
      <c r="B28" s="78"/>
      <c r="C28" s="79"/>
      <c r="D28" s="79"/>
      <c r="E28" s="79"/>
      <c r="F28" s="79"/>
      <c r="G28" s="80"/>
      <c r="H28" s="93"/>
      <c r="I28" s="93"/>
      <c r="J28" s="93"/>
      <c r="K28" s="93"/>
      <c r="L28" s="93"/>
      <c r="M28" s="93"/>
      <c r="N28" s="93"/>
      <c r="O28" s="93"/>
      <c r="P28" s="93"/>
      <c r="Q28" s="93"/>
      <c r="R28" s="93"/>
      <c r="S28" s="93"/>
      <c r="T28" s="93"/>
      <c r="U28" s="93"/>
      <c r="V28" s="93"/>
      <c r="W28" s="93"/>
      <c r="X28" s="93"/>
      <c r="Y28" s="2"/>
      <c r="Z28" s="93"/>
      <c r="AA28" s="93"/>
      <c r="AB28" s="93"/>
      <c r="AC28" s="93"/>
      <c r="AD28" s="93"/>
      <c r="AE28" s="93"/>
      <c r="AF28" s="93"/>
      <c r="AG28" s="93"/>
      <c r="AH28" s="93"/>
      <c r="AI28" s="92"/>
      <c r="AJ28" s="89"/>
      <c r="AK28" s="89">
        <v>1600</v>
      </c>
      <c r="AL28" s="89">
        <v>2499</v>
      </c>
      <c r="AM28" s="90">
        <v>3369</v>
      </c>
      <c r="AN28" s="90">
        <f t="shared" si="50"/>
        <v>673.8</v>
      </c>
      <c r="AO28" s="32"/>
      <c r="AP28" s="32"/>
      <c r="AQ28" s="85"/>
      <c r="AR28" s="86"/>
      <c r="AS28" s="81"/>
      <c r="AT28" s="81"/>
      <c r="AU28" s="85"/>
      <c r="AV28" s="86"/>
      <c r="AW28" s="81"/>
    </row>
    <row r="29" spans="1:54" ht="15.75" thickBot="1" x14ac:dyDescent="0.3">
      <c r="A29" s="20"/>
      <c r="B29" s="78"/>
      <c r="C29" s="79"/>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2"/>
      <c r="AJ29" s="89"/>
      <c r="AK29" s="89">
        <v>2500</v>
      </c>
      <c r="AL29" s="89" t="s">
        <v>4</v>
      </c>
      <c r="AM29" s="89">
        <v>0.56399999999999995</v>
      </c>
      <c r="AN29" s="89" t="s">
        <v>5</v>
      </c>
      <c r="AO29" s="32"/>
      <c r="AP29" s="32"/>
      <c r="AQ29" s="85"/>
      <c r="AR29" s="86"/>
      <c r="AS29" s="81"/>
      <c r="AT29" s="81"/>
      <c r="AU29" s="85"/>
      <c r="AV29" s="86"/>
      <c r="AW29" s="81"/>
      <c r="AZ29" s="91"/>
    </row>
    <row r="30" spans="1:54" ht="16.5" thickTop="1" thickBot="1" x14ac:dyDescent="0.3">
      <c r="A30" s="20"/>
      <c r="B30" s="78"/>
      <c r="C30" s="79" t="s">
        <v>40</v>
      </c>
      <c r="D30" s="94"/>
      <c r="E30" s="94"/>
      <c r="F30" s="94"/>
      <c r="G30" s="94"/>
      <c r="H30" s="63">
        <f>$AN$60*E14</f>
        <v>5416.0822793216266</v>
      </c>
      <c r="I30" s="64">
        <f>$AN$60*F14</f>
        <v>5416.0822793216266</v>
      </c>
      <c r="J30" s="65">
        <f>$AN$60*G14</f>
        <v>5416.0822793216266</v>
      </c>
      <c r="K30" s="66">
        <f>$AN$60*H14</f>
        <v>5416.0822793216266</v>
      </c>
      <c r="L30" s="67">
        <f>$AN$60*I14</f>
        <v>5416.0822793216266</v>
      </c>
      <c r="M30" s="68">
        <f t="shared" ref="M30:V30" si="51">($AN$60)*J14</f>
        <v>5416.0822793216266</v>
      </c>
      <c r="N30" s="69">
        <f t="shared" si="51"/>
        <v>5416.0822793216266</v>
      </c>
      <c r="O30" s="70">
        <f t="shared" si="51"/>
        <v>5416.0822793216266</v>
      </c>
      <c r="P30" s="63">
        <f t="shared" si="51"/>
        <v>5416.0822793216266</v>
      </c>
      <c r="Q30" s="64">
        <f t="shared" si="51"/>
        <v>5416.0822793216266</v>
      </c>
      <c r="R30" s="65">
        <f t="shared" si="51"/>
        <v>5416.0822793216266</v>
      </c>
      <c r="S30" s="66">
        <f t="shared" si="51"/>
        <v>5416.0822793216266</v>
      </c>
      <c r="T30" s="67">
        <f t="shared" si="51"/>
        <v>5416.0822793216266</v>
      </c>
      <c r="U30" s="68">
        <f t="shared" si="51"/>
        <v>5416.0822793216266</v>
      </c>
      <c r="V30" s="69">
        <f t="shared" si="51"/>
        <v>5416.0822793216266</v>
      </c>
      <c r="W30" s="70">
        <f>$AN$67*T14</f>
        <v>5415.8567962047282</v>
      </c>
      <c r="X30" s="63">
        <f>$AN$67*U14</f>
        <v>5415.8567962047282</v>
      </c>
      <c r="Y30" s="64">
        <f>$AN$67*V14</f>
        <v>5415.8567962047282</v>
      </c>
      <c r="Z30" s="65">
        <f>$AN$67*W14</f>
        <v>5415.8567962047282</v>
      </c>
      <c r="AA30" s="66">
        <f>X14* ($AN$67-$AN$71)</f>
        <v>4204.0360811785613</v>
      </c>
      <c r="AB30" s="67">
        <f>Y14* ($AN$67-$AN$71)</f>
        <v>4204.0360811785613</v>
      </c>
      <c r="AC30" s="68">
        <f>Z14* ($AN$67-$AN$71)</f>
        <v>4204.0360811785613</v>
      </c>
      <c r="AD30" s="69">
        <f>AA14* ($AN$67-$AN$71)</f>
        <v>4204.0360811785613</v>
      </c>
      <c r="AE30" s="70">
        <f>AB14* ($AN$67-$AN$71)</f>
        <v>4204.0360811785613</v>
      </c>
      <c r="AF30" s="63">
        <f t="shared" ref="AF30:AH30" si="52">AC14* ($AN$67-$AN$71)</f>
        <v>4204.0360811785613</v>
      </c>
      <c r="AG30" s="64">
        <f t="shared" si="52"/>
        <v>4204.0360811785613</v>
      </c>
      <c r="AH30" s="65">
        <f t="shared" si="52"/>
        <v>4204.0360811785613</v>
      </c>
      <c r="AI30" s="92"/>
      <c r="AO30" s="32"/>
      <c r="AP30" s="32"/>
      <c r="AQ30" s="85"/>
      <c r="AR30" s="86"/>
      <c r="AS30" s="81"/>
      <c r="AT30" s="81"/>
      <c r="AU30" s="85"/>
      <c r="AV30" s="86"/>
      <c r="AW30" s="81"/>
      <c r="AZ30" s="91"/>
    </row>
    <row r="31" spans="1:54" ht="16.5" thickTop="1" thickBot="1" x14ac:dyDescent="0.3">
      <c r="A31" s="20"/>
      <c r="B31" s="78"/>
      <c r="C31" s="79" t="s">
        <v>41</v>
      </c>
      <c r="D31" s="94"/>
      <c r="E31" s="94"/>
      <c r="F31" s="94"/>
      <c r="G31" s="94"/>
      <c r="H31" s="63">
        <f>SUM(H22:H27,H30)</f>
        <v>18757.968107086046</v>
      </c>
      <c r="I31" s="64">
        <f>SUM(I22:I27,I30)</f>
        <v>18757.968107086046</v>
      </c>
      <c r="J31" s="65">
        <f t="shared" ref="J31:AE31" si="53">SUM(J22:J27,J30)</f>
        <v>18757.968107086046</v>
      </c>
      <c r="K31" s="66">
        <f t="shared" si="53"/>
        <v>18757.968107086046</v>
      </c>
      <c r="L31" s="67">
        <f t="shared" si="53"/>
        <v>18757.968107086046</v>
      </c>
      <c r="M31" s="68">
        <f t="shared" si="53"/>
        <v>18757.968107086046</v>
      </c>
      <c r="N31" s="69">
        <f t="shared" si="53"/>
        <v>18757.968107086046</v>
      </c>
      <c r="O31" s="70">
        <f t="shared" si="53"/>
        <v>17875.968107086046</v>
      </c>
      <c r="P31" s="63">
        <f t="shared" si="53"/>
        <v>17875.968107086046</v>
      </c>
      <c r="Q31" s="64">
        <f t="shared" si="53"/>
        <v>18463.968107086046</v>
      </c>
      <c r="R31" s="65">
        <f t="shared" si="53"/>
        <v>18463.968107086046</v>
      </c>
      <c r="S31" s="66">
        <f t="shared" si="53"/>
        <v>15676.634773752714</v>
      </c>
      <c r="T31" s="67">
        <f t="shared" si="53"/>
        <v>15676.634773752714</v>
      </c>
      <c r="U31" s="68">
        <f t="shared" si="53"/>
        <v>15676.634773752714</v>
      </c>
      <c r="V31" s="69">
        <f t="shared" si="53"/>
        <v>15676.634773752714</v>
      </c>
      <c r="W31" s="70">
        <f>SUM(W22:W27,W30)</f>
        <v>20738.075957302484</v>
      </c>
      <c r="X31" s="63">
        <f t="shared" si="53"/>
        <v>16098.075957302484</v>
      </c>
      <c r="Y31" s="64">
        <f t="shared" si="53"/>
        <v>16098.075957302484</v>
      </c>
      <c r="Z31" s="65">
        <f t="shared" si="53"/>
        <v>16098.075957302484</v>
      </c>
      <c r="AA31" s="66">
        <f>SUM(AA22:AA27,AA30)</f>
        <v>14886.255242276316</v>
      </c>
      <c r="AB31" s="67">
        <f t="shared" si="53"/>
        <v>14886.255242276316</v>
      </c>
      <c r="AC31" s="68">
        <f t="shared" si="53"/>
        <v>14886.255242276316</v>
      </c>
      <c r="AD31" s="69">
        <f t="shared" si="53"/>
        <v>16646.255242276318</v>
      </c>
      <c r="AE31" s="70">
        <f t="shared" si="53"/>
        <v>14886.255242276316</v>
      </c>
      <c r="AF31" s="63">
        <f t="shared" ref="AF31:AH31" si="54">SUM(AF22:AF27,AF30)</f>
        <v>14886.255242276316</v>
      </c>
      <c r="AG31" s="64">
        <f t="shared" si="54"/>
        <v>14886.255242276316</v>
      </c>
      <c r="AH31" s="65">
        <f t="shared" si="54"/>
        <v>14886.255242276316</v>
      </c>
      <c r="AI31" s="20"/>
      <c r="AJ31" s="83" t="s">
        <v>43</v>
      </c>
      <c r="AK31" s="84"/>
      <c r="AL31" s="84"/>
      <c r="AM31" s="84"/>
      <c r="AN31" s="84"/>
      <c r="AO31" s="32"/>
      <c r="AP31" s="32"/>
      <c r="AQ31" s="85"/>
      <c r="AR31" s="86"/>
      <c r="AS31" s="81"/>
      <c r="AT31" s="81"/>
      <c r="AU31" s="85"/>
      <c r="AV31" s="86"/>
      <c r="AW31" s="81"/>
      <c r="AZ31" s="91"/>
    </row>
    <row r="32" spans="1:54" ht="16.5" thickTop="1" thickBot="1" x14ac:dyDescent="0.3">
      <c r="A32" s="20"/>
      <c r="B32" s="78"/>
      <c r="C32" s="79"/>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20"/>
      <c r="AJ32" s="84"/>
      <c r="AK32" s="84"/>
      <c r="AL32" s="84"/>
      <c r="AM32" s="196" t="s">
        <v>0</v>
      </c>
      <c r="AN32" s="196" t="s">
        <v>1</v>
      </c>
      <c r="AO32" s="32"/>
      <c r="AP32" s="32"/>
      <c r="AQ32" s="85"/>
      <c r="AR32" s="86"/>
      <c r="AS32" s="81"/>
      <c r="AT32" s="81"/>
      <c r="AU32" s="85"/>
      <c r="AV32" s="86"/>
      <c r="AW32" s="81"/>
      <c r="AZ32" s="91"/>
    </row>
    <row r="33" spans="1:55" ht="16.5" thickTop="1" thickBot="1" x14ac:dyDescent="0.3">
      <c r="A33" s="2"/>
      <c r="B33" s="78"/>
      <c r="C33" s="79" t="s">
        <v>42</v>
      </c>
      <c r="D33" s="95"/>
      <c r="E33" s="95"/>
      <c r="F33" s="96"/>
      <c r="G33" s="96"/>
      <c r="H33" s="97">
        <v>0</v>
      </c>
      <c r="I33" s="98">
        <f t="shared" ref="I33:M33" si="55">I31/G15-H31/F15</f>
        <v>0</v>
      </c>
      <c r="J33" s="99">
        <f t="shared" si="55"/>
        <v>0</v>
      </c>
      <c r="K33" s="100">
        <f t="shared" si="55"/>
        <v>0</v>
      </c>
      <c r="L33" s="101">
        <f t="shared" si="55"/>
        <v>0</v>
      </c>
      <c r="M33" s="102">
        <f t="shared" si="55"/>
        <v>0</v>
      </c>
      <c r="N33" s="103">
        <f>N31/L15-M31/K15</f>
        <v>0</v>
      </c>
      <c r="O33" s="104">
        <f>O31/M15-N31/L15</f>
        <v>-0.12599999999999989</v>
      </c>
      <c r="P33" s="97">
        <f t="shared" ref="P33:Y33" si="56">P31/N15-O31/M15</f>
        <v>0</v>
      </c>
      <c r="Q33" s="98">
        <f t="shared" si="56"/>
        <v>8.4000000000000075E-2</v>
      </c>
      <c r="R33" s="99">
        <f t="shared" si="56"/>
        <v>0</v>
      </c>
      <c r="S33" s="100">
        <f>S31/Q15-R31/P15</f>
        <v>-0.39819047619047643</v>
      </c>
      <c r="T33" s="101">
        <f>T31/R15-S31/Q15</f>
        <v>0</v>
      </c>
      <c r="U33" s="102">
        <f t="shared" si="56"/>
        <v>0</v>
      </c>
      <c r="V33" s="103">
        <f t="shared" si="56"/>
        <v>0</v>
      </c>
      <c r="W33" s="104">
        <f>(W31-W27)/U15-V31/T15</f>
        <v>6.0205883364253143E-2</v>
      </c>
      <c r="X33" s="97">
        <f>X31/V15-(W31-W27)/U15</f>
        <v>0</v>
      </c>
      <c r="Y33" s="98">
        <f t="shared" si="56"/>
        <v>0</v>
      </c>
      <c r="Z33" s="99">
        <f t="shared" ref="Z33" si="57">Z31/X15-Y31/W15</f>
        <v>0</v>
      </c>
      <c r="AA33" s="100">
        <f>AA31/Y15-Z31/X15</f>
        <v>-0.17311724500373815</v>
      </c>
      <c r="AB33" s="101">
        <f t="shared" ref="AB33" si="58">AB31/Z15-AA31/Y15</f>
        <v>0</v>
      </c>
      <c r="AC33" s="102">
        <f t="shared" ref="AC33" si="59">AC31/AA15-AB31/Z15</f>
        <v>0</v>
      </c>
      <c r="AD33" s="103">
        <f>(AD31-AD27)/AB15-AC31/AA15</f>
        <v>0</v>
      </c>
      <c r="AE33" s="104">
        <f>AE31/AC15-(AD31-AD27)/AB15</f>
        <v>0</v>
      </c>
      <c r="AF33" s="97">
        <f t="shared" ref="AF33:AH33" si="60">AF31/AD15-(AE31-AE27)/AC15</f>
        <v>0</v>
      </c>
      <c r="AG33" s="98">
        <f t="shared" si="60"/>
        <v>0</v>
      </c>
      <c r="AH33" s="99">
        <f t="shared" si="60"/>
        <v>0</v>
      </c>
      <c r="AI33" s="20"/>
      <c r="AJ33" s="84"/>
      <c r="AK33" s="88" t="s">
        <v>2</v>
      </c>
      <c r="AL33" s="88" t="s">
        <v>3</v>
      </c>
      <c r="AM33" s="196"/>
      <c r="AN33" s="196"/>
      <c r="AO33" s="32"/>
      <c r="AP33" s="32"/>
      <c r="AQ33" s="85"/>
      <c r="AR33" s="86"/>
      <c r="AS33" s="81"/>
      <c r="AT33" s="81"/>
      <c r="AU33" s="85"/>
      <c r="AV33" s="86"/>
      <c r="AW33" s="81"/>
    </row>
    <row r="34" spans="1:55" ht="15.75" thickTop="1" x14ac:dyDescent="0.25">
      <c r="A34" s="2"/>
      <c r="AI34" s="20"/>
      <c r="AJ34" s="89"/>
      <c r="AK34" s="89">
        <v>0</v>
      </c>
      <c r="AL34" s="89">
        <v>1099</v>
      </c>
      <c r="AM34" s="90">
        <v>200</v>
      </c>
      <c r="AN34" s="90">
        <f>AM34/4</f>
        <v>50</v>
      </c>
      <c r="AO34" s="32"/>
      <c r="AP34" s="32"/>
      <c r="AQ34" s="85"/>
      <c r="AR34" s="86"/>
      <c r="AS34" s="81"/>
      <c r="AT34" s="81"/>
      <c r="AU34" s="85"/>
      <c r="AV34" s="86"/>
      <c r="AW34" s="81"/>
    </row>
    <row r="35" spans="1:55" x14ac:dyDescent="0.25">
      <c r="A35" s="2"/>
      <c r="AI35" s="20"/>
      <c r="AJ35" s="89"/>
      <c r="AK35" s="89">
        <v>1100</v>
      </c>
      <c r="AL35" s="89">
        <v>1599</v>
      </c>
      <c r="AM35" s="90">
        <v>1926</v>
      </c>
      <c r="AN35" s="90">
        <f>AM35/4</f>
        <v>481.5</v>
      </c>
      <c r="AP35" s="32"/>
      <c r="AQ35" s="85"/>
      <c r="AR35" s="86"/>
      <c r="AS35" s="81"/>
      <c r="AT35" s="81"/>
      <c r="AU35" s="85"/>
      <c r="AV35" s="86"/>
      <c r="AW35" s="81"/>
    </row>
    <row r="36" spans="1:55" ht="15.75" thickBot="1" x14ac:dyDescent="0.3">
      <c r="A36" s="2"/>
      <c r="E36" s="29">
        <v>42370</v>
      </c>
      <c r="F36" s="28">
        <v>42401</v>
      </c>
      <c r="G36" s="28">
        <v>42430</v>
      </c>
      <c r="H36" s="28">
        <v>42461</v>
      </c>
      <c r="I36" s="28">
        <v>42491</v>
      </c>
      <c r="J36" s="28">
        <v>42522</v>
      </c>
      <c r="K36" s="28">
        <v>42552</v>
      </c>
      <c r="L36" s="28">
        <v>42583</v>
      </c>
      <c r="M36" s="28">
        <v>42614</v>
      </c>
      <c r="N36" s="28">
        <v>42644</v>
      </c>
      <c r="O36" s="28">
        <v>42675</v>
      </c>
      <c r="P36" s="28">
        <v>42705</v>
      </c>
      <c r="Q36" s="28">
        <v>42736</v>
      </c>
      <c r="R36" s="28">
        <v>42767</v>
      </c>
      <c r="S36" s="28">
        <v>42795</v>
      </c>
      <c r="T36" s="28">
        <v>42826</v>
      </c>
      <c r="U36" s="28">
        <v>42856</v>
      </c>
      <c r="V36" s="28">
        <v>42887</v>
      </c>
      <c r="W36" s="28">
        <v>42917</v>
      </c>
      <c r="X36" s="28">
        <v>42948</v>
      </c>
      <c r="Y36" s="28">
        <v>42979</v>
      </c>
      <c r="Z36" s="28">
        <v>43009</v>
      </c>
      <c r="AA36" s="28">
        <v>43040</v>
      </c>
      <c r="AB36" s="28">
        <v>43070</v>
      </c>
      <c r="AC36" s="28">
        <v>43101</v>
      </c>
      <c r="AD36" s="28">
        <v>43132</v>
      </c>
      <c r="AE36" s="28">
        <v>43160</v>
      </c>
      <c r="AF36" s="28">
        <v>43191</v>
      </c>
      <c r="AG36" s="28">
        <v>43221</v>
      </c>
      <c r="AH36" s="28">
        <v>43252</v>
      </c>
      <c r="AI36" s="20"/>
      <c r="AJ36" s="89"/>
      <c r="AK36" s="89">
        <v>1600</v>
      </c>
      <c r="AL36" s="89">
        <v>2499</v>
      </c>
      <c r="AM36" s="90">
        <v>2695</v>
      </c>
      <c r="AN36" s="90">
        <f>AM36/4</f>
        <v>673.75</v>
      </c>
      <c r="AO36" s="32"/>
      <c r="AP36" s="32"/>
      <c r="AQ36" s="85"/>
      <c r="AR36" s="86"/>
      <c r="AS36" s="81"/>
      <c r="AT36" s="81"/>
      <c r="AU36" s="85"/>
      <c r="AV36" s="86"/>
      <c r="AW36" s="81"/>
      <c r="AY36" s="193"/>
      <c r="AZ36" s="194"/>
      <c r="BA36" s="194"/>
      <c r="BB36" s="194"/>
      <c r="BC36" s="194"/>
    </row>
    <row r="37" spans="1:55" x14ac:dyDescent="0.25">
      <c r="A37" s="2"/>
      <c r="D37" s="13" t="s">
        <v>44</v>
      </c>
      <c r="E37" s="105">
        <f t="shared" ref="E37:AE37" si="61">E19</f>
        <v>0</v>
      </c>
      <c r="F37" s="105">
        <f t="shared" si="61"/>
        <v>0</v>
      </c>
      <c r="G37" s="105">
        <f>G19</f>
        <v>66990</v>
      </c>
      <c r="H37" s="105">
        <f t="shared" si="61"/>
        <v>64470</v>
      </c>
      <c r="I37" s="105">
        <f t="shared" si="61"/>
        <v>65309.999999999985</v>
      </c>
      <c r="J37" s="105">
        <f t="shared" si="61"/>
        <v>65519.999999999993</v>
      </c>
      <c r="K37" s="105">
        <f t="shared" si="61"/>
        <v>65519.999999999993</v>
      </c>
      <c r="L37" s="105">
        <f t="shared" si="61"/>
        <v>65380.000000000007</v>
      </c>
      <c r="M37" s="105">
        <f t="shared" si="61"/>
        <v>63490.000000000015</v>
      </c>
      <c r="N37" s="105">
        <f>N19</f>
        <v>64749.999999999993</v>
      </c>
      <c r="O37" s="105">
        <f t="shared" si="61"/>
        <v>62929.999999999985</v>
      </c>
      <c r="P37" s="105">
        <f t="shared" si="61"/>
        <v>64470.000000000007</v>
      </c>
      <c r="Q37" s="105">
        <f t="shared" si="61"/>
        <v>64676.330338901811</v>
      </c>
      <c r="R37" s="105">
        <f t="shared" si="61"/>
        <v>64277.280167727644</v>
      </c>
      <c r="S37" s="105">
        <f t="shared" si="61"/>
        <v>59592.455596511434</v>
      </c>
      <c r="T37" s="105">
        <f t="shared" si="61"/>
        <v>60899.410878073766</v>
      </c>
      <c r="U37" s="105">
        <f t="shared" si="61"/>
        <v>61812.282455612396</v>
      </c>
      <c r="V37" s="105">
        <f>V19</f>
        <v>61112.978629784331</v>
      </c>
      <c r="W37" s="105">
        <f t="shared" si="61"/>
        <v>61511.192524676335</v>
      </c>
      <c r="X37" s="105">
        <f t="shared" si="61"/>
        <v>61439.407477399807</v>
      </c>
      <c r="Y37" s="105">
        <f>Y19</f>
        <v>61439.407477399807</v>
      </c>
      <c r="Z37" s="105">
        <f>Z19</f>
        <v>61439.407477399807</v>
      </c>
      <c r="AA37" s="105">
        <f t="shared" si="61"/>
        <v>59015.766047347475</v>
      </c>
      <c r="AB37" s="105">
        <f t="shared" si="61"/>
        <v>60227.586762373641</v>
      </c>
      <c r="AC37" s="105">
        <f t="shared" si="61"/>
        <v>60227.586762373641</v>
      </c>
      <c r="AD37" s="105">
        <f t="shared" si="61"/>
        <v>60227.586762373641</v>
      </c>
      <c r="AE37" s="105">
        <f t="shared" si="61"/>
        <v>60227.586762373641</v>
      </c>
      <c r="AF37" s="105">
        <f t="shared" ref="AF37:AH37" si="62">AF19</f>
        <v>60227.586762373641</v>
      </c>
      <c r="AG37" s="105">
        <f t="shared" si="62"/>
        <v>60227.586762373641</v>
      </c>
      <c r="AH37" s="105">
        <f t="shared" si="62"/>
        <v>60227.586762373641</v>
      </c>
      <c r="AI37" s="20"/>
      <c r="AJ37" s="89"/>
      <c r="AK37" s="89">
        <v>2500</v>
      </c>
      <c r="AL37" s="89" t="s">
        <v>4</v>
      </c>
      <c r="AM37" s="89">
        <v>0.56399999999999995</v>
      </c>
      <c r="AN37" s="89" t="s">
        <v>5</v>
      </c>
      <c r="AO37" s="107"/>
      <c r="AP37" s="32"/>
      <c r="AQ37" s="85"/>
      <c r="AR37" s="86"/>
      <c r="AS37" s="81"/>
      <c r="AT37" s="81"/>
      <c r="AU37" s="85"/>
      <c r="AV37" s="86"/>
      <c r="AW37" s="81"/>
      <c r="AY37" s="193"/>
      <c r="AZ37" s="194"/>
      <c r="BA37" s="194"/>
      <c r="BB37" s="194"/>
      <c r="BC37" s="194"/>
    </row>
    <row r="38" spans="1:55" x14ac:dyDescent="0.25">
      <c r="A38" s="2"/>
      <c r="D38" s="13" t="s">
        <v>45</v>
      </c>
      <c r="F38" s="106"/>
      <c r="G38" s="106">
        <f t="shared" ref="G38:AE38" si="63">G37/$G$37</f>
        <v>1</v>
      </c>
      <c r="H38" s="106">
        <f t="shared" si="63"/>
        <v>0.96238244514106586</v>
      </c>
      <c r="I38" s="106">
        <f t="shared" si="63"/>
        <v>0.97492163009404365</v>
      </c>
      <c r="J38" s="106">
        <f>J37/$G$37</f>
        <v>0.97805642633228829</v>
      </c>
      <c r="K38" s="106">
        <f t="shared" si="63"/>
        <v>0.97805642633228829</v>
      </c>
      <c r="L38" s="106">
        <f t="shared" si="63"/>
        <v>0.97596656217345878</v>
      </c>
      <c r="M38" s="106">
        <f t="shared" si="63"/>
        <v>0.94775339602925834</v>
      </c>
      <c r="N38" s="106">
        <f t="shared" si="63"/>
        <v>0.96656217345872508</v>
      </c>
      <c r="O38" s="106">
        <f t="shared" si="63"/>
        <v>0.93939393939393923</v>
      </c>
      <c r="P38" s="106">
        <f t="shared" si="63"/>
        <v>0.96238244514106597</v>
      </c>
      <c r="Q38" s="106">
        <f t="shared" si="63"/>
        <v>0.96546246214213782</v>
      </c>
      <c r="R38" s="106">
        <f t="shared" si="63"/>
        <v>0.95950560035419685</v>
      </c>
      <c r="S38" s="106">
        <f t="shared" si="63"/>
        <v>0.88957240776998703</v>
      </c>
      <c r="T38" s="106">
        <f t="shared" si="63"/>
        <v>0.90908211491377466</v>
      </c>
      <c r="U38" s="106">
        <f t="shared" si="63"/>
        <v>0.92270909771029108</v>
      </c>
      <c r="V38" s="106">
        <f t="shared" si="63"/>
        <v>0.91227016912650138</v>
      </c>
      <c r="W38" s="106">
        <f t="shared" si="63"/>
        <v>0.9182145473156641</v>
      </c>
      <c r="X38" s="106">
        <f t="shared" si="63"/>
        <v>0.91714296876249901</v>
      </c>
      <c r="Y38" s="106">
        <f t="shared" si="63"/>
        <v>0.91714296876249901</v>
      </c>
      <c r="Z38" s="106">
        <f t="shared" si="63"/>
        <v>0.91714296876249901</v>
      </c>
      <c r="AA38" s="106">
        <f t="shared" si="63"/>
        <v>0.88096381620163422</v>
      </c>
      <c r="AB38" s="106">
        <f t="shared" si="63"/>
        <v>0.89905339248206662</v>
      </c>
      <c r="AC38" s="106">
        <f t="shared" si="63"/>
        <v>0.89905339248206662</v>
      </c>
      <c r="AD38" s="106">
        <f t="shared" si="63"/>
        <v>0.89905339248206662</v>
      </c>
      <c r="AE38" s="106">
        <f t="shared" si="63"/>
        <v>0.89905339248206662</v>
      </c>
      <c r="AF38" s="106">
        <f t="shared" ref="AF38:AH38" si="64">AF37/$G$37</f>
        <v>0.89905339248206662</v>
      </c>
      <c r="AG38" s="106">
        <f t="shared" si="64"/>
        <v>0.89905339248206662</v>
      </c>
      <c r="AH38" s="106">
        <f t="shared" si="64"/>
        <v>0.89905339248206662</v>
      </c>
      <c r="AI38" s="20"/>
      <c r="AJ38" s="32"/>
      <c r="AK38" s="32"/>
      <c r="AL38" s="32"/>
      <c r="AM38" s="32"/>
      <c r="AN38" s="32"/>
      <c r="AO38" s="109"/>
      <c r="AQ38" s="85"/>
      <c r="AR38" s="86"/>
      <c r="AS38" s="81"/>
      <c r="AT38" s="81"/>
      <c r="AU38" s="85"/>
      <c r="AV38" s="86"/>
      <c r="AW38" s="81"/>
    </row>
    <row r="39" spans="1:55" x14ac:dyDescent="0.25">
      <c r="A39" s="2"/>
      <c r="AI39" s="20"/>
      <c r="AJ39" s="83" t="s">
        <v>46</v>
      </c>
      <c r="AK39" s="84"/>
      <c r="AL39" s="84"/>
      <c r="AM39" s="84"/>
      <c r="AN39" s="84"/>
      <c r="AO39" s="109"/>
      <c r="AP39" s="32"/>
      <c r="AQ39" s="85"/>
      <c r="AR39" s="86"/>
      <c r="AS39" s="81"/>
      <c r="AT39" s="81"/>
      <c r="AU39" s="85"/>
      <c r="AV39" s="86"/>
      <c r="AW39" s="81"/>
    </row>
    <row r="40" spans="1:55" x14ac:dyDescent="0.25">
      <c r="A40" s="2"/>
      <c r="AI40" s="20"/>
      <c r="AJ40" s="84"/>
      <c r="AK40" s="84"/>
      <c r="AL40" s="84"/>
      <c r="AM40" s="196" t="s">
        <v>0</v>
      </c>
      <c r="AN40" s="196" t="s">
        <v>1</v>
      </c>
      <c r="AO40" s="109"/>
      <c r="AP40" s="108"/>
      <c r="AQ40" s="85"/>
      <c r="AR40" s="86"/>
      <c r="AS40" s="81"/>
      <c r="AT40" s="81"/>
      <c r="AU40" s="85"/>
      <c r="AV40" s="86"/>
      <c r="AW40" s="81"/>
      <c r="AX40" s="18"/>
    </row>
    <row r="41" spans="1:55" x14ac:dyDescent="0.25">
      <c r="A41" s="2"/>
      <c r="D41" s="6"/>
      <c r="E41" s="6"/>
      <c r="F41" s="6"/>
      <c r="G41" s="6"/>
      <c r="AI41" s="20"/>
      <c r="AJ41" s="84"/>
      <c r="AK41" s="88" t="s">
        <v>2</v>
      </c>
      <c r="AL41" s="88" t="s">
        <v>3</v>
      </c>
      <c r="AM41" s="196"/>
      <c r="AN41" s="196"/>
      <c r="AO41" s="109"/>
      <c r="AP41" s="109"/>
      <c r="AQ41" s="85"/>
      <c r="AR41" s="86"/>
      <c r="AS41" s="81"/>
      <c r="AT41" s="81"/>
      <c r="AU41" s="85"/>
      <c r="AV41" s="86"/>
      <c r="AW41" s="81"/>
    </row>
    <row r="42" spans="1:55" x14ac:dyDescent="0.25">
      <c r="A42" s="2"/>
      <c r="AI42" s="20"/>
      <c r="AJ42" s="89"/>
      <c r="AK42" s="89">
        <v>0</v>
      </c>
      <c r="AL42" s="89">
        <v>1099</v>
      </c>
      <c r="AM42" s="90">
        <v>100</v>
      </c>
      <c r="AN42" s="90">
        <f>AM42/2</f>
        <v>50</v>
      </c>
      <c r="AO42" s="109"/>
      <c r="AP42" s="109"/>
      <c r="AQ42" s="85"/>
      <c r="AR42" s="86"/>
      <c r="AS42" s="81"/>
      <c r="AT42" s="81"/>
      <c r="AU42" s="85"/>
      <c r="AV42" s="86"/>
      <c r="AW42" s="81"/>
    </row>
    <row r="43" spans="1:55" x14ac:dyDescent="0.25">
      <c r="A43" s="2"/>
      <c r="AI43" s="20"/>
      <c r="AJ43" s="89"/>
      <c r="AK43" s="89">
        <v>1100</v>
      </c>
      <c r="AL43" s="89">
        <v>1599</v>
      </c>
      <c r="AM43" s="90">
        <v>748</v>
      </c>
      <c r="AN43" s="90">
        <f>AM43/2</f>
        <v>374</v>
      </c>
      <c r="AO43" s="109"/>
      <c r="AP43" s="109"/>
      <c r="AQ43" s="85"/>
      <c r="AR43" s="86"/>
      <c r="AS43" s="81"/>
      <c r="AT43" s="81"/>
      <c r="AU43" s="85"/>
      <c r="AV43" s="86"/>
      <c r="AW43" s="81"/>
    </row>
    <row r="44" spans="1:55" x14ac:dyDescent="0.25">
      <c r="W44" s="166"/>
      <c r="AI44" s="20"/>
      <c r="AJ44" s="89"/>
      <c r="AK44" s="89">
        <v>1600</v>
      </c>
      <c r="AL44" s="89">
        <v>2499</v>
      </c>
      <c r="AM44" s="90">
        <v>1047</v>
      </c>
      <c r="AN44" s="90">
        <f>AM44/2</f>
        <v>523.5</v>
      </c>
      <c r="AO44" s="109"/>
      <c r="AP44" s="109"/>
      <c r="AQ44" s="110"/>
      <c r="AR44" s="111"/>
      <c r="AS44" s="93"/>
      <c r="AT44" s="93"/>
      <c r="AU44" s="93"/>
      <c r="AV44" s="93"/>
      <c r="AW44" s="91"/>
    </row>
    <row r="45" spans="1:55" x14ac:dyDescent="0.25">
      <c r="AI45" s="20"/>
      <c r="AJ45" s="89"/>
      <c r="AK45" s="89">
        <v>2500</v>
      </c>
      <c r="AL45" s="89" t="s">
        <v>4</v>
      </c>
      <c r="AM45" s="89">
        <v>0.438</v>
      </c>
      <c r="AN45" s="89" t="s">
        <v>5</v>
      </c>
      <c r="AO45" s="109"/>
      <c r="AP45" s="109"/>
      <c r="AQ45" s="110"/>
      <c r="AR45" s="111"/>
      <c r="AS45" s="93"/>
      <c r="AT45" s="93"/>
      <c r="AU45" s="93"/>
      <c r="AV45" s="93"/>
      <c r="AW45" s="91"/>
    </row>
    <row r="46" spans="1:55" x14ac:dyDescent="0.25">
      <c r="Q46" s="13"/>
      <c r="W46" s="16"/>
      <c r="AI46" s="20"/>
      <c r="AJ46" s="32"/>
      <c r="AK46" s="32"/>
      <c r="AL46" s="32"/>
      <c r="AM46" s="32"/>
      <c r="AN46" s="32"/>
      <c r="AO46" s="109"/>
      <c r="AP46" s="109"/>
      <c r="AQ46" s="110"/>
      <c r="AR46" s="111"/>
      <c r="AS46" s="93"/>
      <c r="AT46" s="93"/>
      <c r="AU46" s="93"/>
      <c r="AV46" s="93"/>
      <c r="AW46" s="91"/>
    </row>
    <row r="47" spans="1:55" x14ac:dyDescent="0.25">
      <c r="Q47" s="133"/>
      <c r="W47" s="16"/>
      <c r="AI47" s="20"/>
      <c r="AJ47" s="83" t="s">
        <v>47</v>
      </c>
      <c r="AK47" s="84"/>
      <c r="AL47" s="84"/>
      <c r="AM47" s="84"/>
      <c r="AN47" s="84"/>
      <c r="AO47" s="109"/>
      <c r="AP47" s="109"/>
      <c r="AQ47" s="110"/>
      <c r="AR47" s="111"/>
      <c r="AS47" s="112"/>
      <c r="AT47" s="113"/>
      <c r="AU47" s="93"/>
      <c r="AV47" s="93"/>
      <c r="AW47" s="91"/>
    </row>
    <row r="48" spans="1:55" x14ac:dyDescent="0.25">
      <c r="Q48" s="133"/>
      <c r="W48" s="16"/>
      <c r="X48" s="16"/>
      <c r="AI48" s="20"/>
      <c r="AJ48" s="84"/>
      <c r="AK48" s="84"/>
      <c r="AL48" s="84"/>
      <c r="AM48" s="196" t="s">
        <v>0</v>
      </c>
      <c r="AN48" s="196" t="s">
        <v>1</v>
      </c>
      <c r="AO48" s="109"/>
      <c r="AP48" s="109"/>
      <c r="AQ48" s="110"/>
      <c r="AR48" s="111"/>
      <c r="AS48" s="2"/>
      <c r="AT48" s="2"/>
      <c r="AU48" s="2"/>
      <c r="AV48" s="2"/>
    </row>
    <row r="49" spans="8:50" x14ac:dyDescent="0.25">
      <c r="H49" s="13"/>
      <c r="I49" s="13"/>
      <c r="Q49" s="133"/>
      <c r="W49" s="16"/>
      <c r="X49" s="16"/>
      <c r="AI49" s="20"/>
      <c r="AJ49" s="84"/>
      <c r="AK49" s="88" t="s">
        <v>2</v>
      </c>
      <c r="AL49" s="88" t="s">
        <v>3</v>
      </c>
      <c r="AM49" s="196"/>
      <c r="AN49" s="196"/>
      <c r="AO49" s="109"/>
      <c r="AP49" s="109"/>
      <c r="AQ49" s="110"/>
      <c r="AR49" s="111"/>
      <c r="AS49" s="2"/>
      <c r="AT49" s="2"/>
      <c r="AU49" s="2"/>
      <c r="AV49" s="2"/>
      <c r="AX49" s="114"/>
    </row>
    <row r="50" spans="8:50" x14ac:dyDescent="0.25">
      <c r="H50" s="13"/>
      <c r="I50" s="13"/>
      <c r="Q50" s="133"/>
      <c r="W50" s="16"/>
      <c r="X50" s="16"/>
      <c r="AI50" s="20"/>
      <c r="AJ50" s="89"/>
      <c r="AK50" s="89">
        <v>0</v>
      </c>
      <c r="AL50" s="89">
        <v>1099</v>
      </c>
      <c r="AM50" s="90">
        <f>2*AN50</f>
        <v>100</v>
      </c>
      <c r="AN50" s="90">
        <v>50</v>
      </c>
      <c r="AP50" s="109"/>
      <c r="AQ50" s="110"/>
      <c r="AR50" s="111"/>
      <c r="AS50" s="2"/>
      <c r="AT50" s="2"/>
      <c r="AU50" s="2"/>
      <c r="AV50" s="2"/>
    </row>
    <row r="51" spans="8:50" x14ac:dyDescent="0.25">
      <c r="H51" s="13"/>
      <c r="I51" s="13"/>
      <c r="Q51" s="133"/>
      <c r="W51" s="16"/>
      <c r="X51" s="16"/>
      <c r="AI51" s="20"/>
      <c r="AJ51" s="89"/>
      <c r="AK51" s="89">
        <v>1100</v>
      </c>
      <c r="AL51" s="89">
        <v>1599</v>
      </c>
      <c r="AM51" s="90">
        <f t="shared" ref="AM51:AM52" si="65">2*AN51</f>
        <v>891</v>
      </c>
      <c r="AN51" s="90">
        <v>445.5</v>
      </c>
      <c r="AP51" s="109"/>
      <c r="AQ51" s="110"/>
      <c r="AR51" s="111"/>
      <c r="AS51" s="2"/>
      <c r="AT51" s="2"/>
      <c r="AU51" s="2"/>
      <c r="AV51" s="2"/>
    </row>
    <row r="52" spans="8:50" x14ac:dyDescent="0.25">
      <c r="H52" s="13"/>
      <c r="I52" s="13"/>
      <c r="Q52" s="133"/>
      <c r="W52" s="16"/>
      <c r="X52" s="16"/>
      <c r="AI52" s="20"/>
      <c r="AJ52" s="89"/>
      <c r="AK52" s="89">
        <v>1600</v>
      </c>
      <c r="AL52" s="89">
        <v>2499</v>
      </c>
      <c r="AM52" s="90">
        <f t="shared" si="65"/>
        <v>1247.3333333333333</v>
      </c>
      <c r="AN52" s="90">
        <v>623.66666666666663</v>
      </c>
      <c r="AO52" s="115"/>
      <c r="AP52" s="109"/>
      <c r="AQ52" s="110"/>
      <c r="AR52" s="111"/>
      <c r="AS52" s="2"/>
      <c r="AT52" s="2"/>
      <c r="AU52" s="2"/>
      <c r="AV52" s="2"/>
      <c r="AW52" s="2"/>
    </row>
    <row r="53" spans="8:50" x14ac:dyDescent="0.25">
      <c r="Q53" s="133"/>
      <c r="W53" s="16"/>
      <c r="X53" s="16"/>
      <c r="AI53" s="20"/>
      <c r="AJ53" s="89"/>
      <c r="AK53" s="89">
        <v>2500</v>
      </c>
      <c r="AL53" s="89" t="s">
        <v>4</v>
      </c>
      <c r="AM53" s="89">
        <v>0.52200000000000002</v>
      </c>
      <c r="AN53" s="89" t="s">
        <v>5</v>
      </c>
      <c r="AQ53" s="110"/>
      <c r="AR53" s="111"/>
      <c r="AS53" s="2"/>
      <c r="AT53" s="2"/>
      <c r="AU53" s="2"/>
      <c r="AV53" s="2"/>
      <c r="AW53" s="2"/>
    </row>
    <row r="54" spans="8:50" x14ac:dyDescent="0.25">
      <c r="Q54" s="133"/>
      <c r="W54" s="16"/>
      <c r="AI54" s="20"/>
      <c r="AJ54" s="32"/>
      <c r="AK54" s="32"/>
      <c r="AL54" s="32"/>
      <c r="AM54" s="32"/>
      <c r="AN54" s="32"/>
      <c r="AQ54" s="110"/>
      <c r="AR54" s="111"/>
      <c r="AS54" s="2"/>
      <c r="AT54" s="2"/>
      <c r="AU54" s="2"/>
      <c r="AV54" s="2"/>
      <c r="AW54" s="2"/>
    </row>
    <row r="55" spans="8:50" x14ac:dyDescent="0.25">
      <c r="Q55" s="133"/>
      <c r="W55" s="16"/>
      <c r="X55" s="16"/>
      <c r="AI55" s="20"/>
      <c r="AJ55" s="116" t="s">
        <v>48</v>
      </c>
      <c r="AK55" s="117"/>
      <c r="AL55" s="117"/>
      <c r="AM55" s="117" t="s">
        <v>49</v>
      </c>
      <c r="AN55" s="118">
        <v>80000</v>
      </c>
      <c r="AP55" s="115"/>
      <c r="AQ55" s="110"/>
      <c r="AR55" s="111"/>
      <c r="AS55" s="2"/>
      <c r="AT55" s="2"/>
    </row>
    <row r="56" spans="8:50" x14ac:dyDescent="0.25">
      <c r="Q56" s="133"/>
      <c r="W56" s="16"/>
      <c r="X56" s="16"/>
      <c r="AI56" s="20"/>
      <c r="AJ56" s="117"/>
      <c r="AK56" s="117"/>
      <c r="AL56" s="117"/>
      <c r="AM56" s="117" t="s">
        <v>50</v>
      </c>
      <c r="AN56" s="119">
        <v>1</v>
      </c>
      <c r="AQ56" s="85"/>
      <c r="AR56" s="86"/>
    </row>
    <row r="57" spans="8:50" x14ac:dyDescent="0.25">
      <c r="Q57" s="133"/>
      <c r="W57" s="16"/>
      <c r="AI57" s="20"/>
      <c r="AJ57" s="32"/>
      <c r="AK57" s="32"/>
      <c r="AL57" s="32"/>
      <c r="AM57" s="32"/>
      <c r="AN57" s="32"/>
    </row>
    <row r="58" spans="8:50" x14ac:dyDescent="0.25">
      <c r="Q58" s="133"/>
      <c r="W58" s="16"/>
      <c r="AI58" s="20"/>
      <c r="AJ58" s="120" t="s">
        <v>51</v>
      </c>
      <c r="AK58" s="121"/>
      <c r="AL58" s="121"/>
      <c r="AM58" s="121" t="s">
        <v>52</v>
      </c>
      <c r="AN58" s="122">
        <v>800000000</v>
      </c>
    </row>
    <row r="59" spans="8:50" x14ac:dyDescent="0.25">
      <c r="Q59" s="133"/>
      <c r="W59" s="16"/>
      <c r="AI59" s="20"/>
      <c r="AJ59" s="121"/>
      <c r="AK59" s="121"/>
      <c r="AL59" s="121"/>
      <c r="AM59" s="121" t="s">
        <v>53</v>
      </c>
      <c r="AN59" s="123">
        <v>1033957704.3318864</v>
      </c>
    </row>
    <row r="60" spans="8:50" x14ac:dyDescent="0.25">
      <c r="Q60" s="133"/>
      <c r="W60" s="16"/>
      <c r="AJ60" s="121"/>
      <c r="AK60" s="121"/>
      <c r="AL60" s="121"/>
      <c r="AM60" s="121" t="s">
        <v>54</v>
      </c>
      <c r="AN60" s="124">
        <f>AN58/AN59</f>
        <v>0.77372603990308952</v>
      </c>
    </row>
    <row r="61" spans="8:50" x14ac:dyDescent="0.25">
      <c r="Q61" s="133"/>
      <c r="W61" s="16"/>
      <c r="AI61" s="20"/>
      <c r="AJ61" s="125"/>
      <c r="AK61" s="125"/>
      <c r="AL61" s="125"/>
      <c r="AM61" s="126" t="s">
        <v>55</v>
      </c>
      <c r="AN61" s="127">
        <v>0.9</v>
      </c>
    </row>
    <row r="62" spans="8:50" x14ac:dyDescent="0.25">
      <c r="Q62" s="133"/>
      <c r="W62" s="16"/>
      <c r="AI62" s="20"/>
      <c r="AJ62" s="125"/>
      <c r="AK62" s="125"/>
      <c r="AL62" s="125"/>
      <c r="AM62" s="126" t="s">
        <v>56</v>
      </c>
      <c r="AN62" s="128">
        <v>100030852.73402874</v>
      </c>
    </row>
    <row r="63" spans="8:50" x14ac:dyDescent="0.25">
      <c r="Q63" s="133"/>
      <c r="W63" s="16"/>
      <c r="AI63" s="20"/>
      <c r="AJ63" s="125"/>
      <c r="AK63" s="125"/>
      <c r="AL63" s="125"/>
      <c r="AM63" s="126" t="s">
        <v>95</v>
      </c>
      <c r="AN63" s="129">
        <f>AN62/AN59</f>
        <v>9.6745594442536498E-2</v>
      </c>
    </row>
    <row r="64" spans="8:50" x14ac:dyDescent="0.25">
      <c r="Q64" s="133"/>
      <c r="W64" s="16"/>
      <c r="AI64" s="20"/>
      <c r="AM64" s="13"/>
      <c r="AN64" s="133"/>
    </row>
    <row r="65" spans="17:43" x14ac:dyDescent="0.25">
      <c r="Q65" s="133"/>
      <c r="W65" s="16"/>
      <c r="AI65" s="2"/>
      <c r="AJ65" s="120" t="s">
        <v>59</v>
      </c>
      <c r="AK65" s="121"/>
      <c r="AL65" s="121"/>
      <c r="AM65" s="121" t="s">
        <v>60</v>
      </c>
      <c r="AN65" s="122">
        <v>800000000</v>
      </c>
    </row>
    <row r="66" spans="17:43" x14ac:dyDescent="0.25">
      <c r="Q66" s="133"/>
      <c r="W66" s="16"/>
      <c r="AI66" s="2"/>
      <c r="AJ66" s="134"/>
      <c r="AK66" s="121"/>
      <c r="AL66" s="121"/>
      <c r="AM66" s="121" t="s">
        <v>69</v>
      </c>
      <c r="AN66" s="123">
        <v>1034000752</v>
      </c>
    </row>
    <row r="67" spans="17:43" x14ac:dyDescent="0.25">
      <c r="Q67" s="133"/>
      <c r="W67" s="16"/>
      <c r="AI67" s="2"/>
      <c r="AJ67" s="125"/>
      <c r="AK67" s="125"/>
      <c r="AL67" s="125"/>
      <c r="AM67" s="126" t="s">
        <v>54</v>
      </c>
      <c r="AN67" s="127">
        <f>AN65/AN66</f>
        <v>0.77369382802924691</v>
      </c>
      <c r="AO67" s="16"/>
      <c r="AQ67" s="18"/>
    </row>
    <row r="68" spans="17:43" x14ac:dyDescent="0.25">
      <c r="Q68" s="133"/>
      <c r="W68" s="16"/>
      <c r="AI68" s="2"/>
      <c r="AO68" s="16"/>
    </row>
    <row r="69" spans="17:43" x14ac:dyDescent="0.25">
      <c r="Q69" s="133"/>
      <c r="W69" s="16"/>
      <c r="AI69" s="2"/>
      <c r="AJ69" s="130" t="s">
        <v>57</v>
      </c>
      <c r="AK69" s="125"/>
      <c r="AL69" s="125"/>
      <c r="AM69" s="126" t="s">
        <v>70</v>
      </c>
      <c r="AN69" s="128">
        <v>180000000</v>
      </c>
      <c r="AO69" s="16"/>
    </row>
    <row r="70" spans="17:43" x14ac:dyDescent="0.25">
      <c r="Q70" s="133"/>
      <c r="W70" s="16"/>
      <c r="AI70" s="2"/>
      <c r="AJ70" s="130"/>
      <c r="AK70" s="125"/>
      <c r="AL70" s="125"/>
      <c r="AM70" s="126" t="s">
        <v>71</v>
      </c>
      <c r="AN70" s="164">
        <v>1039757766.4554055</v>
      </c>
      <c r="AO70" s="16"/>
      <c r="AP70" s="16"/>
    </row>
    <row r="71" spans="17:43" x14ac:dyDescent="0.25">
      <c r="AI71" s="2"/>
      <c r="AJ71" s="125"/>
      <c r="AK71" s="125"/>
      <c r="AL71" s="125"/>
      <c r="AM71" s="126" t="s">
        <v>58</v>
      </c>
      <c r="AN71" s="131">
        <f>AN69/(AN70)</f>
        <v>0.17311724500373818</v>
      </c>
      <c r="AO71" s="16"/>
      <c r="AP71" s="16"/>
    </row>
    <row r="72" spans="17:43" x14ac:dyDescent="0.25">
      <c r="AI72" s="2"/>
      <c r="AM72" s="13"/>
      <c r="AN72" s="133"/>
      <c r="AP72" s="16"/>
    </row>
    <row r="73" spans="17:43" x14ac:dyDescent="0.25">
      <c r="AJ73" s="135" t="s">
        <v>61</v>
      </c>
      <c r="AK73" s="22"/>
      <c r="AL73" s="22"/>
      <c r="AM73" s="22"/>
      <c r="AN73" s="22"/>
      <c r="AP73" s="16"/>
    </row>
    <row r="74" spans="17:43" x14ac:dyDescent="0.25">
      <c r="AJ74" s="22"/>
      <c r="AK74" s="22"/>
      <c r="AL74" s="22"/>
      <c r="AM74" s="195" t="s">
        <v>0</v>
      </c>
      <c r="AN74" s="195" t="s">
        <v>1</v>
      </c>
      <c r="AP74" s="16"/>
    </row>
    <row r="75" spans="17:43" x14ac:dyDescent="0.25">
      <c r="AJ75" s="22"/>
      <c r="AK75" s="136" t="s">
        <v>2</v>
      </c>
      <c r="AL75" s="136" t="s">
        <v>3</v>
      </c>
      <c r="AM75" s="195"/>
      <c r="AN75" s="195"/>
    </row>
    <row r="76" spans="17:43" x14ac:dyDescent="0.25">
      <c r="AJ76" s="137"/>
      <c r="AK76" s="137">
        <v>2500</v>
      </c>
      <c r="AL76" s="137">
        <v>2829</v>
      </c>
      <c r="AM76" s="138">
        <v>23278</v>
      </c>
      <c r="AN76" s="138">
        <f>AM76/12</f>
        <v>1939.8333333333333</v>
      </c>
    </row>
    <row r="77" spans="17:43" x14ac:dyDescent="0.25">
      <c r="AJ77" s="137"/>
      <c r="AK77" s="137">
        <v>2830</v>
      </c>
      <c r="AL77" s="137">
        <v>3149</v>
      </c>
      <c r="AM77" s="138">
        <v>24190</v>
      </c>
      <c r="AN77" s="138">
        <f>AM77/12</f>
        <v>2015.8333333333333</v>
      </c>
    </row>
    <row r="78" spans="17:43" ht="15" customHeight="1" x14ac:dyDescent="0.25">
      <c r="AJ78" s="137"/>
      <c r="AK78" s="137">
        <v>3150</v>
      </c>
      <c r="AL78" s="137" t="s">
        <v>4</v>
      </c>
      <c r="AM78" s="138">
        <v>25100</v>
      </c>
      <c r="AN78" s="138">
        <f>AM78/12</f>
        <v>2091.6666666666665</v>
      </c>
    </row>
    <row r="79" spans="17:43" ht="15.75" thickBot="1" x14ac:dyDescent="0.3">
      <c r="AM79" s="17"/>
      <c r="AN79" s="17"/>
    </row>
    <row r="80" spans="17:43" x14ac:dyDescent="0.25">
      <c r="AJ80" s="139" t="s">
        <v>62</v>
      </c>
      <c r="AK80" s="140"/>
      <c r="AL80" s="140"/>
      <c r="AM80" s="140"/>
      <c r="AN80" s="140"/>
    </row>
    <row r="81" spans="35:45" x14ac:dyDescent="0.25">
      <c r="AI81" s="2"/>
      <c r="AJ81" s="22"/>
      <c r="AK81" s="22"/>
      <c r="AL81" s="22"/>
      <c r="AM81" s="195" t="s">
        <v>0</v>
      </c>
      <c r="AN81" s="195" t="s">
        <v>1</v>
      </c>
      <c r="AS81" s="13"/>
    </row>
    <row r="82" spans="35:45" x14ac:dyDescent="0.25">
      <c r="AI82" s="2"/>
      <c r="AJ82" s="22"/>
      <c r="AK82" s="136" t="s">
        <v>2</v>
      </c>
      <c r="AL82" s="136" t="s">
        <v>3</v>
      </c>
      <c r="AM82" s="195"/>
      <c r="AN82" s="195"/>
      <c r="AR82" s="133"/>
      <c r="AS82" s="132"/>
    </row>
    <row r="83" spans="35:45" x14ac:dyDescent="0.25">
      <c r="AI83" s="19"/>
      <c r="AJ83" s="137"/>
      <c r="AK83" s="137">
        <v>2500</v>
      </c>
      <c r="AL83" s="137">
        <v>2828.9999999999995</v>
      </c>
      <c r="AM83" s="138">
        <v>18622.399999999998</v>
      </c>
      <c r="AN83" s="138">
        <v>1551.8666666666666</v>
      </c>
      <c r="AR83" s="133"/>
      <c r="AS83" s="132"/>
    </row>
    <row r="84" spans="35:45" x14ac:dyDescent="0.25">
      <c r="AI84" s="19"/>
      <c r="AJ84" s="137"/>
      <c r="AK84" s="137">
        <v>2829.9999999999995</v>
      </c>
      <c r="AL84" s="137">
        <v>3149</v>
      </c>
      <c r="AM84" s="138">
        <v>19352</v>
      </c>
      <c r="AN84" s="138">
        <v>1612.6666666666667</v>
      </c>
      <c r="AR84" s="133"/>
      <c r="AS84" s="132"/>
    </row>
    <row r="85" spans="35:45" x14ac:dyDescent="0.25">
      <c r="AI85" s="19"/>
      <c r="AJ85" s="137"/>
      <c r="AK85" s="137">
        <v>3150</v>
      </c>
      <c r="AL85" s="137" t="s">
        <v>4</v>
      </c>
      <c r="AM85" s="138">
        <v>20080</v>
      </c>
      <c r="AN85" s="138">
        <v>1673.3333333333333</v>
      </c>
      <c r="AR85" s="133"/>
      <c r="AS85" s="132"/>
    </row>
    <row r="86" spans="35:45" x14ac:dyDescent="0.25">
      <c r="AI86" s="19"/>
      <c r="AM86" s="141"/>
      <c r="AN86" s="141"/>
    </row>
    <row r="87" spans="35:45" x14ac:dyDescent="0.25">
      <c r="AI87" s="19"/>
      <c r="AJ87" s="142"/>
      <c r="AK87" s="142"/>
      <c r="AL87" s="143" t="s">
        <v>63</v>
      </c>
      <c r="AM87" s="144">
        <v>1.1299999999999999</v>
      </c>
      <c r="AN87" s="145" t="s">
        <v>5</v>
      </c>
    </row>
    <row r="88" spans="35:45" ht="15.75" thickBot="1" x14ac:dyDescent="0.3">
      <c r="AI88" s="19"/>
      <c r="AM88" s="17"/>
      <c r="AN88" s="17"/>
    </row>
    <row r="89" spans="35:45" x14ac:dyDescent="0.25">
      <c r="AI89" s="19"/>
      <c r="AJ89" s="139" t="s">
        <v>64</v>
      </c>
      <c r="AK89" s="140"/>
      <c r="AL89" s="146"/>
      <c r="AM89" s="140"/>
      <c r="AN89" s="140"/>
      <c r="AS89" s="18"/>
    </row>
    <row r="90" spans="35:45" x14ac:dyDescent="0.25">
      <c r="AI90" s="19"/>
      <c r="AJ90" s="22"/>
      <c r="AK90" s="22"/>
      <c r="AL90" s="136"/>
      <c r="AM90" s="195" t="s">
        <v>0</v>
      </c>
      <c r="AN90" s="195" t="s">
        <v>1</v>
      </c>
      <c r="AS90" s="18"/>
    </row>
    <row r="91" spans="35:45" x14ac:dyDescent="0.25">
      <c r="AI91" s="19"/>
      <c r="AJ91" s="136"/>
      <c r="AK91" s="136" t="s">
        <v>2</v>
      </c>
      <c r="AL91" s="136" t="s">
        <v>3</v>
      </c>
      <c r="AM91" s="195"/>
      <c r="AN91" s="195"/>
      <c r="AS91" s="18"/>
    </row>
    <row r="92" spans="35:45" x14ac:dyDescent="0.25">
      <c r="AI92" s="19"/>
      <c r="AJ92" s="137"/>
      <c r="AK92" s="137">
        <v>2500</v>
      </c>
      <c r="AL92" s="147">
        <v>2828.9999999999995</v>
      </c>
      <c r="AM92" s="138">
        <v>13966.8</v>
      </c>
      <c r="AN92" s="138">
        <v>1163.8999999999999</v>
      </c>
    </row>
    <row r="93" spans="35:45" x14ac:dyDescent="0.25">
      <c r="AI93" s="19"/>
      <c r="AJ93" s="148"/>
      <c r="AK93" s="148">
        <v>2829.9999999999995</v>
      </c>
      <c r="AL93" s="149">
        <v>3149</v>
      </c>
      <c r="AM93" s="138">
        <v>14514</v>
      </c>
      <c r="AN93" s="138">
        <v>1209.5</v>
      </c>
    </row>
    <row r="94" spans="35:45" x14ac:dyDescent="0.25">
      <c r="AI94" s="19"/>
      <c r="AJ94" s="137"/>
      <c r="AK94" s="137">
        <v>3150</v>
      </c>
      <c r="AL94" s="149" t="s">
        <v>4</v>
      </c>
      <c r="AM94" s="138">
        <v>15060</v>
      </c>
      <c r="AN94" s="138">
        <v>1255</v>
      </c>
    </row>
    <row r="95" spans="35:45" x14ac:dyDescent="0.25">
      <c r="AI95" s="19"/>
      <c r="AL95" s="13"/>
      <c r="AM95" s="150"/>
      <c r="AN95" s="141"/>
    </row>
    <row r="96" spans="35:45" x14ac:dyDescent="0.25">
      <c r="AI96" s="19"/>
      <c r="AJ96" s="142"/>
      <c r="AK96" s="142"/>
      <c r="AL96" s="143" t="s">
        <v>65</v>
      </c>
      <c r="AM96" s="144">
        <v>1.25</v>
      </c>
      <c r="AN96" s="151" t="s">
        <v>5</v>
      </c>
    </row>
    <row r="97" spans="2:42" x14ac:dyDescent="0.25">
      <c r="AI97" s="19"/>
      <c r="AL97" s="13"/>
      <c r="AM97" s="17"/>
      <c r="AN97" s="17"/>
    </row>
    <row r="98" spans="2:42" x14ac:dyDescent="0.25">
      <c r="AI98" s="19"/>
      <c r="AJ98" s="165" t="s">
        <v>39</v>
      </c>
      <c r="AK98" s="161"/>
      <c r="AL98" s="161"/>
      <c r="AM98" s="162" t="s">
        <v>68</v>
      </c>
      <c r="AN98" s="163">
        <v>4640</v>
      </c>
      <c r="AO98" s="4" t="s">
        <v>73</v>
      </c>
    </row>
    <row r="99" spans="2:42" x14ac:dyDescent="0.25">
      <c r="AI99" s="19"/>
      <c r="AJ99" s="161"/>
      <c r="AK99" s="161"/>
      <c r="AL99" s="161"/>
      <c r="AM99" s="162" t="s">
        <v>67</v>
      </c>
      <c r="AN99" s="163">
        <v>1760</v>
      </c>
      <c r="AO99" s="4" t="s">
        <v>73</v>
      </c>
    </row>
    <row r="100" spans="2:42" x14ac:dyDescent="0.25">
      <c r="AI100" s="19"/>
    </row>
    <row r="101" spans="2:42" x14ac:dyDescent="0.25">
      <c r="AI101" s="19"/>
      <c r="AP101" s="4"/>
    </row>
    <row r="102" spans="2:42" x14ac:dyDescent="0.25">
      <c r="AE102" s="4"/>
      <c r="AF102" s="4"/>
      <c r="AG102" s="4"/>
      <c r="AH102" s="4"/>
      <c r="AI102" s="19"/>
      <c r="AP102" s="4"/>
    </row>
    <row r="103" spans="2:42" s="4" customFormat="1" ht="18" customHeight="1" x14ac:dyDescent="0.25">
      <c r="B103" s="32"/>
      <c r="C103" s="32"/>
      <c r="D103" s="32"/>
      <c r="E103" s="32"/>
      <c r="F103" s="32"/>
      <c r="G103" s="32"/>
      <c r="AI103" s="19"/>
      <c r="AJ103" s="6"/>
      <c r="AK103" s="6"/>
      <c r="AL103" s="6"/>
      <c r="AM103" s="6"/>
      <c r="AN103" s="6"/>
      <c r="AO103" s="6"/>
      <c r="AP103" s="6"/>
    </row>
    <row r="104" spans="2:42" s="4" customFormat="1" ht="18" customHeight="1" x14ac:dyDescent="0.25">
      <c r="B104" s="32"/>
      <c r="C104" s="32"/>
      <c r="D104" s="32"/>
      <c r="E104" s="32"/>
      <c r="F104" s="32"/>
      <c r="G104" s="32"/>
      <c r="AE104" s="6"/>
      <c r="AF104" s="6"/>
      <c r="AG104" s="6"/>
      <c r="AH104" s="6"/>
      <c r="AI104" s="19"/>
      <c r="AJ104" s="6"/>
      <c r="AK104" s="6"/>
      <c r="AL104" s="6"/>
      <c r="AM104" s="6"/>
      <c r="AN104" s="6"/>
      <c r="AO104" s="6"/>
      <c r="AP104" s="6"/>
    </row>
    <row r="105" spans="2:42" x14ac:dyDescent="0.25">
      <c r="AI105" s="19"/>
    </row>
    <row r="106" spans="2:42" x14ac:dyDescent="0.25">
      <c r="AI106" s="19"/>
    </row>
    <row r="107" spans="2:42" x14ac:dyDescent="0.25">
      <c r="AI107" s="19"/>
    </row>
  </sheetData>
  <sheetProtection sheet="1" objects="1" scenarios="1"/>
  <mergeCells count="22">
    <mergeCell ref="AM24:AM25"/>
    <mergeCell ref="AN24:AN25"/>
    <mergeCell ref="AM32:AM33"/>
    <mergeCell ref="AN32:AN33"/>
    <mergeCell ref="C4:T4"/>
    <mergeCell ref="C6:T6"/>
    <mergeCell ref="H9:M9"/>
    <mergeCell ref="N9:S9"/>
    <mergeCell ref="T9:Y9"/>
    <mergeCell ref="Z9:AE9"/>
    <mergeCell ref="AY36:AY37"/>
    <mergeCell ref="AZ36:BC37"/>
    <mergeCell ref="AM90:AM91"/>
    <mergeCell ref="AN90:AN91"/>
    <mergeCell ref="AM48:AM49"/>
    <mergeCell ref="AN48:AN49"/>
    <mergeCell ref="AM74:AM75"/>
    <mergeCell ref="AN74:AN75"/>
    <mergeCell ref="AM81:AM82"/>
    <mergeCell ref="AN81:AN82"/>
    <mergeCell ref="AM40:AM41"/>
    <mergeCell ref="AN40:AN41"/>
  </mergeCells>
  <pageMargins left="0.7" right="0.7" top="0.75" bottom="0.75" header="0.3" footer="0.3"/>
  <pageSetup paperSize="9"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BA9E5"/>
  </sheetPr>
  <dimension ref="B1:S41"/>
  <sheetViews>
    <sheetView workbookViewId="0"/>
  </sheetViews>
  <sheetFormatPr defaultRowHeight="15" x14ac:dyDescent="0.25"/>
  <cols>
    <col min="1" max="1" width="15.5703125" style="6" customWidth="1"/>
    <col min="2" max="2" width="11" style="6" bestFit="1" customWidth="1"/>
    <col min="3" max="3" width="13.42578125" style="6" customWidth="1"/>
    <col min="4" max="4" width="15" style="6" customWidth="1"/>
    <col min="5" max="5" width="13.7109375" style="6" customWidth="1"/>
    <col min="6" max="6" width="14.7109375" style="6" customWidth="1"/>
    <col min="7" max="7" width="14.140625" style="6" customWidth="1"/>
    <col min="8" max="8" width="9.140625" style="6"/>
    <col min="9" max="9" width="13.42578125" style="6" customWidth="1"/>
    <col min="10" max="10" width="9.140625" style="6"/>
    <col min="11" max="11" width="10.85546875" style="6" bestFit="1" customWidth="1"/>
    <col min="12" max="12" width="4.140625" style="6" customWidth="1"/>
    <col min="13" max="13" width="8" style="6" customWidth="1"/>
    <col min="14" max="14" width="9.140625" style="6"/>
    <col min="15" max="15" width="14.42578125" style="6" customWidth="1"/>
    <col min="16" max="16" width="17" style="6" customWidth="1"/>
    <col min="17" max="17" width="16.85546875" style="6" customWidth="1"/>
    <col min="18" max="18" width="15.42578125" style="6" customWidth="1"/>
    <col min="19" max="19" width="14.42578125" style="6" customWidth="1"/>
    <col min="20" max="16384" width="9.140625" style="6"/>
  </cols>
  <sheetData>
    <row r="1" spans="2:18" ht="36" customHeight="1" x14ac:dyDescent="0.35">
      <c r="B1" s="173" t="s">
        <v>85</v>
      </c>
      <c r="N1" s="173" t="s">
        <v>96</v>
      </c>
    </row>
    <row r="2" spans="2:18" ht="30" customHeight="1" thickBot="1" x14ac:dyDescent="0.3">
      <c r="B2" s="203" t="s">
        <v>94</v>
      </c>
      <c r="C2" s="203"/>
      <c r="D2" s="203"/>
      <c r="E2" s="203"/>
      <c r="F2" s="203"/>
      <c r="N2" s="203" t="s">
        <v>97</v>
      </c>
      <c r="O2" s="203"/>
      <c r="P2" s="203"/>
      <c r="Q2" s="203"/>
      <c r="R2" s="203"/>
    </row>
    <row r="3" spans="2:18" ht="52.5" thickBot="1" x14ac:dyDescent="0.3">
      <c r="B3" s="174" t="s">
        <v>86</v>
      </c>
      <c r="C3" s="174" t="s">
        <v>87</v>
      </c>
      <c r="D3" s="174" t="s">
        <v>88</v>
      </c>
      <c r="E3" s="175" t="s">
        <v>89</v>
      </c>
      <c r="F3" s="175" t="s">
        <v>90</v>
      </c>
      <c r="N3" s="174" t="s">
        <v>86</v>
      </c>
      <c r="O3" s="174" t="s">
        <v>87</v>
      </c>
      <c r="P3" s="174" t="s">
        <v>88</v>
      </c>
      <c r="Q3" s="175" t="s">
        <v>89</v>
      </c>
      <c r="R3" s="175" t="s">
        <v>90</v>
      </c>
    </row>
    <row r="4" spans="2:18" x14ac:dyDescent="0.25">
      <c r="B4" s="176">
        <v>1000</v>
      </c>
      <c r="C4" s="177">
        <f>F23</f>
        <v>1346.7455944425365</v>
      </c>
      <c r="D4" s="177">
        <f>Cashflow!$AN$67*B4</f>
        <v>773.6938280292469</v>
      </c>
      <c r="E4" s="178">
        <f>D4+C4</f>
        <v>2120.4394224717835</v>
      </c>
      <c r="F4" s="179">
        <f>E4/B4</f>
        <v>2.1204394224717835</v>
      </c>
      <c r="N4" s="176">
        <v>1000</v>
      </c>
      <c r="O4" s="177">
        <f>R23</f>
        <v>1346.7455944425365</v>
      </c>
      <c r="P4" s="177">
        <f>(Cashflow!$AN$67-Cashflow!$AN$71)*'Indicative Income Tables'!N4</f>
        <v>600.57658302550874</v>
      </c>
      <c r="Q4" s="178">
        <f>P4+O4</f>
        <v>1947.3221774680451</v>
      </c>
      <c r="R4" s="179">
        <f>Q4/N4</f>
        <v>1.9473221774680451</v>
      </c>
    </row>
    <row r="5" spans="2:18" x14ac:dyDescent="0.25">
      <c r="B5" s="176">
        <v>2000</v>
      </c>
      <c r="C5" s="177">
        <f t="shared" ref="C5:C18" si="0">F24</f>
        <v>2693.4911888850729</v>
      </c>
      <c r="D5" s="177">
        <f>Cashflow!$AN$67*B5</f>
        <v>1547.3876560584938</v>
      </c>
      <c r="E5" s="178">
        <f t="shared" ref="E5:E18" si="1">D5+C5</f>
        <v>4240.8788449435669</v>
      </c>
      <c r="F5" s="179">
        <f t="shared" ref="F5:F18" si="2">E5/B5</f>
        <v>2.1204394224717835</v>
      </c>
      <c r="N5" s="176">
        <v>2000</v>
      </c>
      <c r="O5" s="177">
        <f t="shared" ref="O5:O18" si="3">R24</f>
        <v>2693.4911888850729</v>
      </c>
      <c r="P5" s="177">
        <f>(Cashflow!$AN$67-Cashflow!$AN$71)*'Indicative Income Tables'!N5</f>
        <v>1201.1531660510175</v>
      </c>
      <c r="Q5" s="178">
        <f t="shared" ref="Q5:Q18" si="4">P5+O5</f>
        <v>3894.6443549360902</v>
      </c>
      <c r="R5" s="179">
        <f t="shared" ref="R5:R18" si="5">Q5/N5</f>
        <v>1.9473221774680451</v>
      </c>
    </row>
    <row r="6" spans="2:18" x14ac:dyDescent="0.25">
      <c r="B6" s="176">
        <v>2500</v>
      </c>
      <c r="C6" s="177">
        <f t="shared" si="0"/>
        <v>4530.7639861063417</v>
      </c>
      <c r="D6" s="177">
        <f>Cashflow!$AN$67*B6</f>
        <v>1934.2345700731173</v>
      </c>
      <c r="E6" s="178">
        <f t="shared" si="1"/>
        <v>6464.9985561794592</v>
      </c>
      <c r="F6" s="179">
        <f t="shared" si="2"/>
        <v>2.5859994224717835</v>
      </c>
      <c r="N6" s="176">
        <v>2500</v>
      </c>
      <c r="O6" s="177">
        <f t="shared" si="3"/>
        <v>4530.7639861063417</v>
      </c>
      <c r="P6" s="177">
        <f>(Cashflow!$AN$67-Cashflow!$AN$71)*'Indicative Income Tables'!N6</f>
        <v>1501.4414575637718</v>
      </c>
      <c r="Q6" s="178">
        <f t="shared" si="4"/>
        <v>6032.2054436701137</v>
      </c>
      <c r="R6" s="179">
        <f t="shared" si="5"/>
        <v>2.4128821774680453</v>
      </c>
    </row>
    <row r="7" spans="2:18" x14ac:dyDescent="0.25">
      <c r="B7" s="176">
        <v>2830</v>
      </c>
      <c r="C7" s="177">
        <f t="shared" si="0"/>
        <v>5020.7900322723781</v>
      </c>
      <c r="D7" s="177">
        <f>Cashflow!$AN$67*B7</f>
        <v>2189.5535333227685</v>
      </c>
      <c r="E7" s="178">
        <f t="shared" si="1"/>
        <v>7210.3435655951471</v>
      </c>
      <c r="F7" s="179">
        <f t="shared" si="2"/>
        <v>2.5478245814823843</v>
      </c>
      <c r="N7" s="176">
        <v>2830</v>
      </c>
      <c r="O7" s="177">
        <f t="shared" si="3"/>
        <v>5020.7900322723781</v>
      </c>
      <c r="P7" s="177">
        <f>(Cashflow!$AN$67-Cashflow!$AN$71)*'Indicative Income Tables'!N7</f>
        <v>1699.6317299621899</v>
      </c>
      <c r="Q7" s="178">
        <f t="shared" si="4"/>
        <v>6720.4217622345677</v>
      </c>
      <c r="R7" s="179">
        <f t="shared" si="5"/>
        <v>2.3747073364786457</v>
      </c>
    </row>
    <row r="8" spans="2:18" x14ac:dyDescent="0.25">
      <c r="B8" s="176">
        <v>3150</v>
      </c>
      <c r="C8" s="177">
        <f t="shared" si="0"/>
        <v>5497.2486224939894</v>
      </c>
      <c r="D8" s="177">
        <f>Cashflow!$AN$67*B8</f>
        <v>2437.1355582921278</v>
      </c>
      <c r="E8" s="178">
        <f t="shared" si="1"/>
        <v>7934.3841807861172</v>
      </c>
      <c r="F8" s="179">
        <f t="shared" si="2"/>
        <v>2.5188521208844818</v>
      </c>
      <c r="N8" s="176">
        <v>3150</v>
      </c>
      <c r="O8" s="177">
        <f t="shared" si="3"/>
        <v>5497.2486224939894</v>
      </c>
      <c r="P8" s="177">
        <f>(Cashflow!$AN$67-Cashflow!$AN$71)*'Indicative Income Tables'!N8</f>
        <v>1891.8162365303526</v>
      </c>
      <c r="Q8" s="178">
        <f t="shared" si="4"/>
        <v>7389.0648590243418</v>
      </c>
      <c r="R8" s="179">
        <f t="shared" si="5"/>
        <v>2.3457348758807433</v>
      </c>
    </row>
    <row r="9" spans="2:18" x14ac:dyDescent="0.25">
      <c r="B9" s="176">
        <v>4000</v>
      </c>
      <c r="C9" s="177">
        <f t="shared" si="0"/>
        <v>6641.9823777701458</v>
      </c>
      <c r="D9" s="177">
        <f>Cashflow!$AN$67*B9</f>
        <v>3094.7753121169876</v>
      </c>
      <c r="E9" s="178">
        <f t="shared" si="1"/>
        <v>9736.7576898871339</v>
      </c>
      <c r="F9" s="179">
        <f t="shared" si="2"/>
        <v>2.4341894224717833</v>
      </c>
      <c r="N9" s="176">
        <v>4000</v>
      </c>
      <c r="O9" s="177">
        <f t="shared" si="3"/>
        <v>6641.9823777701458</v>
      </c>
      <c r="P9" s="177">
        <f>(Cashflow!$AN$67-Cashflow!$AN$71)*'Indicative Income Tables'!N9</f>
        <v>2402.306332102035</v>
      </c>
      <c r="Q9" s="178">
        <f t="shared" si="4"/>
        <v>9044.2887098721803</v>
      </c>
      <c r="R9" s="179">
        <f t="shared" si="5"/>
        <v>2.2610721774680451</v>
      </c>
    </row>
    <row r="10" spans="2:18" x14ac:dyDescent="0.25">
      <c r="B10" s="176">
        <v>5000</v>
      </c>
      <c r="C10" s="177">
        <f t="shared" si="0"/>
        <v>7988.7279722126823</v>
      </c>
      <c r="D10" s="177">
        <f>Cashflow!$AN$67*B10</f>
        <v>3868.4691401462346</v>
      </c>
      <c r="E10" s="178">
        <f t="shared" si="1"/>
        <v>11857.197112358917</v>
      </c>
      <c r="F10" s="179">
        <f t="shared" si="2"/>
        <v>2.3714394224717834</v>
      </c>
      <c r="N10" s="176">
        <v>5000</v>
      </c>
      <c r="O10" s="177">
        <f t="shared" si="3"/>
        <v>7988.7279722126823</v>
      </c>
      <c r="P10" s="177">
        <f>(Cashflow!$AN$67-Cashflow!$AN$71)*'Indicative Income Tables'!N10</f>
        <v>3002.8829151275436</v>
      </c>
      <c r="Q10" s="178">
        <f t="shared" si="4"/>
        <v>10991.610887340226</v>
      </c>
      <c r="R10" s="179">
        <f t="shared" si="5"/>
        <v>2.1983221774680453</v>
      </c>
    </row>
    <row r="11" spans="2:18" x14ac:dyDescent="0.25">
      <c r="B11" s="176">
        <v>6000</v>
      </c>
      <c r="C11" s="177">
        <f t="shared" si="0"/>
        <v>9335.4735666552187</v>
      </c>
      <c r="D11" s="177">
        <f>Cashflow!$AN$67*B11</f>
        <v>4642.1629681754812</v>
      </c>
      <c r="E11" s="178">
        <f t="shared" si="1"/>
        <v>13977.636534830701</v>
      </c>
      <c r="F11" s="179">
        <f t="shared" si="2"/>
        <v>2.32960608913845</v>
      </c>
      <c r="N11" s="176">
        <v>6000</v>
      </c>
      <c r="O11" s="177">
        <f t="shared" si="3"/>
        <v>9335.4735666552187</v>
      </c>
      <c r="P11" s="177">
        <f>(Cashflow!$AN$67-Cashflow!$AN$71)*'Indicative Income Tables'!N11</f>
        <v>3603.4594981530527</v>
      </c>
      <c r="Q11" s="178">
        <f t="shared" si="4"/>
        <v>12938.933064808272</v>
      </c>
      <c r="R11" s="179">
        <f t="shared" si="5"/>
        <v>2.1564888441347119</v>
      </c>
    </row>
    <row r="12" spans="2:18" x14ac:dyDescent="0.25">
      <c r="B12" s="176">
        <v>7000</v>
      </c>
      <c r="C12" s="177">
        <f t="shared" si="0"/>
        <v>10682.219161097755</v>
      </c>
      <c r="D12" s="177">
        <f>Cashflow!$AN$67*B12</f>
        <v>5415.8567962047282</v>
      </c>
      <c r="E12" s="178">
        <f t="shared" si="1"/>
        <v>16098.075957302484</v>
      </c>
      <c r="F12" s="179">
        <f t="shared" si="2"/>
        <v>2.2997251367574978</v>
      </c>
      <c r="N12" s="176">
        <v>7000</v>
      </c>
      <c r="O12" s="177">
        <f t="shared" si="3"/>
        <v>10682.219161097755</v>
      </c>
      <c r="P12" s="177">
        <f>(Cashflow!$AN$67-Cashflow!$AN$71)*'Indicative Income Tables'!N12</f>
        <v>4204.0360811785613</v>
      </c>
      <c r="Q12" s="178">
        <f t="shared" si="4"/>
        <v>14886.255242276316</v>
      </c>
      <c r="R12" s="179">
        <f t="shared" si="5"/>
        <v>2.1266078917537596</v>
      </c>
    </row>
    <row r="13" spans="2:18" x14ac:dyDescent="0.25">
      <c r="B13" s="176">
        <v>8000</v>
      </c>
      <c r="C13" s="177">
        <f t="shared" si="0"/>
        <v>12028.964755540292</v>
      </c>
      <c r="D13" s="177">
        <f>Cashflow!$AN$67*B13</f>
        <v>6189.5506242339752</v>
      </c>
      <c r="E13" s="178">
        <f t="shared" si="1"/>
        <v>18218.515379774268</v>
      </c>
      <c r="F13" s="179">
        <f t="shared" si="2"/>
        <v>2.2773144224717834</v>
      </c>
      <c r="N13" s="176">
        <v>8000</v>
      </c>
      <c r="O13" s="177">
        <f t="shared" si="3"/>
        <v>12028.964755540292</v>
      </c>
      <c r="P13" s="177">
        <f>(Cashflow!$AN$67-Cashflow!$AN$71)*'Indicative Income Tables'!N13</f>
        <v>4804.6126642040699</v>
      </c>
      <c r="Q13" s="178">
        <f t="shared" si="4"/>
        <v>16833.577419744361</v>
      </c>
      <c r="R13" s="179">
        <f t="shared" si="5"/>
        <v>2.1041971774680452</v>
      </c>
    </row>
    <row r="14" spans="2:18" x14ac:dyDescent="0.25">
      <c r="B14" s="176">
        <v>9000</v>
      </c>
      <c r="C14" s="177">
        <f t="shared" si="0"/>
        <v>13375.710349982828</v>
      </c>
      <c r="D14" s="177">
        <f>Cashflow!$AN$67*B14</f>
        <v>6963.2444522632222</v>
      </c>
      <c r="E14" s="178">
        <f t="shared" si="1"/>
        <v>20338.954802246051</v>
      </c>
      <c r="F14" s="179">
        <f t="shared" si="2"/>
        <v>2.259883866916228</v>
      </c>
      <c r="N14" s="176">
        <v>9000</v>
      </c>
      <c r="O14" s="177">
        <f t="shared" si="3"/>
        <v>13375.710349982828</v>
      </c>
      <c r="P14" s="177">
        <f>(Cashflow!$AN$67-Cashflow!$AN$71)*'Indicative Income Tables'!N14</f>
        <v>5405.1892472295785</v>
      </c>
      <c r="Q14" s="178">
        <f t="shared" si="4"/>
        <v>18780.899597212407</v>
      </c>
      <c r="R14" s="179">
        <f t="shared" si="5"/>
        <v>2.0867666219124898</v>
      </c>
    </row>
    <row r="15" spans="2:18" x14ac:dyDescent="0.25">
      <c r="B15" s="176">
        <v>10000</v>
      </c>
      <c r="C15" s="177">
        <f t="shared" si="0"/>
        <v>14722.455944425365</v>
      </c>
      <c r="D15" s="177">
        <f>Cashflow!$AN$67*B15</f>
        <v>7736.9382802924692</v>
      </c>
      <c r="E15" s="178">
        <f t="shared" si="1"/>
        <v>22459.394224717835</v>
      </c>
      <c r="F15" s="179">
        <f t="shared" si="2"/>
        <v>2.2459394224717837</v>
      </c>
      <c r="N15" s="176">
        <v>10000</v>
      </c>
      <c r="O15" s="177">
        <f t="shared" si="3"/>
        <v>14722.455944425365</v>
      </c>
      <c r="P15" s="177">
        <f>(Cashflow!$AN$67-Cashflow!$AN$71)*'Indicative Income Tables'!N15</f>
        <v>6005.7658302550872</v>
      </c>
      <c r="Q15" s="178">
        <f t="shared" si="4"/>
        <v>20728.221774680453</v>
      </c>
      <c r="R15" s="179">
        <f t="shared" si="5"/>
        <v>2.0728221774680451</v>
      </c>
    </row>
    <row r="16" spans="2:18" x14ac:dyDescent="0.25">
      <c r="B16" s="176">
        <v>11000</v>
      </c>
      <c r="C16" s="177">
        <f t="shared" si="0"/>
        <v>16069.201538867901</v>
      </c>
      <c r="D16" s="177">
        <f>Cashflow!$AN$67*B16</f>
        <v>8510.6321083217154</v>
      </c>
      <c r="E16" s="178">
        <f t="shared" si="1"/>
        <v>24579.833647189618</v>
      </c>
      <c r="F16" s="179">
        <f t="shared" si="2"/>
        <v>2.2345303315626928</v>
      </c>
      <c r="N16" s="176">
        <v>11000</v>
      </c>
      <c r="O16" s="177">
        <f t="shared" si="3"/>
        <v>16069.201538867901</v>
      </c>
      <c r="P16" s="177">
        <f>(Cashflow!$AN$67-Cashflow!$AN$71)*'Indicative Income Tables'!N16</f>
        <v>6606.3424132805967</v>
      </c>
      <c r="Q16" s="178">
        <f t="shared" si="4"/>
        <v>22675.543952148499</v>
      </c>
      <c r="R16" s="179">
        <f t="shared" si="5"/>
        <v>2.0614130865589546</v>
      </c>
    </row>
    <row r="17" spans="2:19" x14ac:dyDescent="0.25">
      <c r="B17" s="176">
        <v>13000</v>
      </c>
      <c r="C17" s="177">
        <f t="shared" si="0"/>
        <v>18762.692727752976</v>
      </c>
      <c r="D17" s="177">
        <f>Cashflow!$AN$67*B17</f>
        <v>10058.019764380209</v>
      </c>
      <c r="E17" s="178">
        <f t="shared" si="1"/>
        <v>28820.712492133185</v>
      </c>
      <c r="F17" s="179">
        <f t="shared" si="2"/>
        <v>2.216977884010245</v>
      </c>
      <c r="N17" s="176">
        <v>13000</v>
      </c>
      <c r="O17" s="177">
        <f t="shared" si="3"/>
        <v>18762.692727752976</v>
      </c>
      <c r="P17" s="177">
        <f>(Cashflow!$AN$67-Cashflow!$AN$71)*'Indicative Income Tables'!N17</f>
        <v>7807.495579331614</v>
      </c>
      <c r="Q17" s="178">
        <f t="shared" si="4"/>
        <v>26570.188307084591</v>
      </c>
      <c r="R17" s="179">
        <f t="shared" si="5"/>
        <v>2.0438606390065068</v>
      </c>
    </row>
    <row r="18" spans="2:19" ht="15.75" thickBot="1" x14ac:dyDescent="0.3">
      <c r="B18" s="176">
        <v>15000</v>
      </c>
      <c r="C18" s="177">
        <f t="shared" si="0"/>
        <v>21456.183916638049</v>
      </c>
      <c r="D18" s="177">
        <f>Cashflow!$AN$67*B18</f>
        <v>11605.407420438703</v>
      </c>
      <c r="E18" s="180">
        <f t="shared" si="1"/>
        <v>33061.591337076752</v>
      </c>
      <c r="F18" s="181">
        <f t="shared" si="2"/>
        <v>2.2041060891384503</v>
      </c>
      <c r="N18" s="176">
        <v>15000</v>
      </c>
      <c r="O18" s="177">
        <f t="shared" si="3"/>
        <v>21456.183916638049</v>
      </c>
      <c r="P18" s="177">
        <f>(Cashflow!$AN$67-Cashflow!$AN$71)*'Indicative Income Tables'!N18</f>
        <v>9008.6487453826321</v>
      </c>
      <c r="Q18" s="180">
        <f t="shared" si="4"/>
        <v>30464.832662020679</v>
      </c>
      <c r="R18" s="181">
        <f t="shared" si="5"/>
        <v>2.0309888441347121</v>
      </c>
    </row>
    <row r="20" spans="2:19" x14ac:dyDescent="0.25">
      <c r="J20" s="182"/>
      <c r="K20" s="182"/>
      <c r="L20" s="182"/>
    </row>
    <row r="21" spans="2:19" ht="27" customHeight="1" thickBot="1" x14ac:dyDescent="0.3">
      <c r="B21" s="203" t="s">
        <v>93</v>
      </c>
      <c r="C21" s="203"/>
      <c r="D21" s="203"/>
      <c r="E21" s="203"/>
      <c r="F21" s="203"/>
      <c r="G21" s="203"/>
      <c r="N21" s="203" t="s">
        <v>98</v>
      </c>
      <c r="O21" s="203"/>
      <c r="P21" s="203"/>
      <c r="Q21" s="203"/>
      <c r="R21" s="203"/>
      <c r="S21" s="203"/>
    </row>
    <row r="22" spans="2:19" ht="43.5" customHeight="1" thickBot="1" x14ac:dyDescent="0.3">
      <c r="B22" s="174" t="s">
        <v>86</v>
      </c>
      <c r="C22" s="174" t="s">
        <v>7</v>
      </c>
      <c r="D22" s="174" t="s">
        <v>91</v>
      </c>
      <c r="E22" s="174" t="s">
        <v>92</v>
      </c>
      <c r="F22" s="175" t="s">
        <v>87</v>
      </c>
      <c r="G22" s="175" t="s">
        <v>90</v>
      </c>
      <c r="K22" s="183"/>
      <c r="L22" s="183"/>
      <c r="N22" s="174" t="s">
        <v>86</v>
      </c>
      <c r="O22" s="174" t="s">
        <v>7</v>
      </c>
      <c r="P22" s="174" t="s">
        <v>91</v>
      </c>
      <c r="Q22" s="174" t="s">
        <v>92</v>
      </c>
      <c r="R22" s="175" t="s">
        <v>87</v>
      </c>
      <c r="S22" s="175" t="s">
        <v>90</v>
      </c>
    </row>
    <row r="23" spans="2:19" x14ac:dyDescent="0.25">
      <c r="B23" s="176">
        <v>1000</v>
      </c>
      <c r="C23" s="177">
        <f>B23*Cashflow!$AM$96</f>
        <v>1250</v>
      </c>
      <c r="D23" s="177">
        <f>IF(B23&lt;Cashflow!$AK$92,0,IF(B23&lt;Cashflow!$AK$93,Cashflow!$AN$92,IF(B23&lt;Cashflow!$AK$94,Cashflow!$AN$93,Cashflow!$AN$94)))</f>
        <v>0</v>
      </c>
      <c r="E23" s="177">
        <f>B23*Cashflow!$AN$63</f>
        <v>96.7455944425365</v>
      </c>
      <c r="F23" s="178">
        <f>E23+D23+C23</f>
        <v>1346.7455944425365</v>
      </c>
      <c r="G23" s="184">
        <f>F23/B23</f>
        <v>1.3467455944425364</v>
      </c>
      <c r="K23" s="185"/>
      <c r="L23" s="185"/>
      <c r="N23" s="176">
        <v>1000</v>
      </c>
      <c r="O23" s="177">
        <f>N23*Cashflow!$AM$96</f>
        <v>1250</v>
      </c>
      <c r="P23" s="177">
        <f>IF(N23&lt;Cashflow!$AK$92,0,IF(N23&lt;Cashflow!$AK$93,Cashflow!$AN$92,IF(N23&lt;Cashflow!$AK$94,Cashflow!$AN$93,Cashflow!$AN$94)))</f>
        <v>0</v>
      </c>
      <c r="Q23" s="177">
        <f>N23*Cashflow!$AN$63</f>
        <v>96.7455944425365</v>
      </c>
      <c r="R23" s="178">
        <f>Q23+P23+O23</f>
        <v>1346.7455944425365</v>
      </c>
      <c r="S23" s="184">
        <f>R23/N23</f>
        <v>1.3467455944425364</v>
      </c>
    </row>
    <row r="24" spans="2:19" x14ac:dyDescent="0.25">
      <c r="B24" s="176">
        <v>2000</v>
      </c>
      <c r="C24" s="177">
        <f>B24*Cashflow!$AM$96</f>
        <v>2500</v>
      </c>
      <c r="D24" s="177">
        <f>IF(B24&lt;Cashflow!$AK$92,0,IF(B24&lt;Cashflow!$AK$93,Cashflow!$AN$92,IF(B24&lt;Cashflow!$AK$94,Cashflow!$AN$93,Cashflow!$AN$94)))</f>
        <v>0</v>
      </c>
      <c r="E24" s="177">
        <f>B24*Cashflow!$AN$63</f>
        <v>193.491188885073</v>
      </c>
      <c r="F24" s="178">
        <f t="shared" ref="F24:F37" si="6">E24+D24+C24</f>
        <v>2693.4911888850729</v>
      </c>
      <c r="G24" s="184">
        <f t="shared" ref="G24:G37" si="7">F24/B24</f>
        <v>1.3467455944425364</v>
      </c>
      <c r="K24" s="185"/>
      <c r="L24" s="185"/>
      <c r="N24" s="176">
        <v>2000</v>
      </c>
      <c r="O24" s="177">
        <f>N24*Cashflow!$AM$96</f>
        <v>2500</v>
      </c>
      <c r="P24" s="177">
        <f>IF(N24&lt;Cashflow!$AK$92,0,IF(N24&lt;Cashflow!$AK$93,Cashflow!$AN$92,IF(N24&lt;Cashflow!$AK$94,Cashflow!$AN$93,Cashflow!$AN$94)))</f>
        <v>0</v>
      </c>
      <c r="Q24" s="177">
        <f>N24*Cashflow!$AN$63</f>
        <v>193.491188885073</v>
      </c>
      <c r="R24" s="178">
        <f t="shared" ref="R24:R37" si="8">Q24+P24+O24</f>
        <v>2693.4911888850729</v>
      </c>
      <c r="S24" s="184">
        <f t="shared" ref="S24:S37" si="9">R24/N24</f>
        <v>1.3467455944425364</v>
      </c>
    </row>
    <row r="25" spans="2:19" x14ac:dyDescent="0.25">
      <c r="B25" s="176">
        <v>2500</v>
      </c>
      <c r="C25" s="177">
        <f>B25*Cashflow!$AM$96</f>
        <v>3125</v>
      </c>
      <c r="D25" s="177">
        <f>IF(B25&lt;Cashflow!$AK$92,0,IF(B25&lt;Cashflow!$AK$93,Cashflow!$AN$92,IF(B25&lt;Cashflow!$AK$94,Cashflow!$AN$93,Cashflow!$AN$94)))</f>
        <v>1163.8999999999999</v>
      </c>
      <c r="E25" s="177">
        <f>B25*Cashflow!$AN$63</f>
        <v>241.86398610634126</v>
      </c>
      <c r="F25" s="178">
        <f t="shared" si="6"/>
        <v>4530.7639861063417</v>
      </c>
      <c r="G25" s="184">
        <f t="shared" si="7"/>
        <v>1.8123055944425366</v>
      </c>
      <c r="K25" s="185"/>
      <c r="L25" s="185"/>
      <c r="N25" s="176">
        <v>2500</v>
      </c>
      <c r="O25" s="177">
        <f>N25*Cashflow!$AM$96</f>
        <v>3125</v>
      </c>
      <c r="P25" s="177">
        <f>IF(N25&lt;Cashflow!$AK$92,0,IF(N25&lt;Cashflow!$AK$93,Cashflow!$AN$92,IF(N25&lt;Cashflow!$AK$94,Cashflow!$AN$93,Cashflow!$AN$94)))</f>
        <v>1163.8999999999999</v>
      </c>
      <c r="Q25" s="177">
        <f>N25*Cashflow!$AN$63</f>
        <v>241.86398610634126</v>
      </c>
      <c r="R25" s="178">
        <f t="shared" si="8"/>
        <v>4530.7639861063417</v>
      </c>
      <c r="S25" s="184">
        <f t="shared" si="9"/>
        <v>1.8123055944425366</v>
      </c>
    </row>
    <row r="26" spans="2:19" x14ac:dyDescent="0.25">
      <c r="B26" s="176">
        <v>2830</v>
      </c>
      <c r="C26" s="177">
        <f>B26*Cashflow!$AM$96</f>
        <v>3537.5</v>
      </c>
      <c r="D26" s="177">
        <f>IF(B26&lt;Cashflow!$AK$92,0,IF(B26&lt;Cashflow!$AK$93,Cashflow!$AN$92,IF(B26&lt;Cashflow!$AK$94,Cashflow!$AN$93,Cashflow!$AN$94)))</f>
        <v>1209.5</v>
      </c>
      <c r="E26" s="177">
        <f>B26*Cashflow!$AN$63</f>
        <v>273.79003227237831</v>
      </c>
      <c r="F26" s="178">
        <f t="shared" si="6"/>
        <v>5020.7900322723781</v>
      </c>
      <c r="G26" s="184">
        <f t="shared" si="7"/>
        <v>1.7741307534531372</v>
      </c>
      <c r="K26" s="185"/>
      <c r="L26" s="185"/>
      <c r="N26" s="176">
        <v>2830</v>
      </c>
      <c r="O26" s="177">
        <f>N26*Cashflow!$AM$96</f>
        <v>3537.5</v>
      </c>
      <c r="P26" s="177">
        <f>IF(N26&lt;Cashflow!$AK$92,0,IF(N26&lt;Cashflow!$AK$93,Cashflow!$AN$92,IF(N26&lt;Cashflow!$AK$94,Cashflow!$AN$93,Cashflow!$AN$94)))</f>
        <v>1209.5</v>
      </c>
      <c r="Q26" s="177">
        <f>N26*Cashflow!$AN$63</f>
        <v>273.79003227237831</v>
      </c>
      <c r="R26" s="178">
        <f t="shared" si="8"/>
        <v>5020.7900322723781</v>
      </c>
      <c r="S26" s="184">
        <f t="shared" si="9"/>
        <v>1.7741307534531372</v>
      </c>
    </row>
    <row r="27" spans="2:19" x14ac:dyDescent="0.25">
      <c r="B27" s="176">
        <v>3150</v>
      </c>
      <c r="C27" s="177">
        <f>B27*Cashflow!$AM$96</f>
        <v>3937.5</v>
      </c>
      <c r="D27" s="177">
        <f>IF(B27&lt;Cashflow!$AK$92,0,IF(B27&lt;Cashflow!$AK$93,Cashflow!$AN$92,IF(B27&lt;Cashflow!$AK$94,Cashflow!$AN$93,Cashflow!$AN$94)))</f>
        <v>1255</v>
      </c>
      <c r="E27" s="177">
        <f>B27*Cashflow!$AN$63</f>
        <v>304.74862249398996</v>
      </c>
      <c r="F27" s="178">
        <f t="shared" si="6"/>
        <v>5497.2486224939894</v>
      </c>
      <c r="G27" s="184">
        <f t="shared" si="7"/>
        <v>1.7451582928552347</v>
      </c>
      <c r="K27" s="185"/>
      <c r="L27" s="185"/>
      <c r="N27" s="176">
        <v>3150</v>
      </c>
      <c r="O27" s="177">
        <f>N27*Cashflow!$AM$96</f>
        <v>3937.5</v>
      </c>
      <c r="P27" s="177">
        <f>IF(N27&lt;Cashflow!$AK$92,0,IF(N27&lt;Cashflow!$AK$93,Cashflow!$AN$92,IF(N27&lt;Cashflow!$AK$94,Cashflow!$AN$93,Cashflow!$AN$94)))</f>
        <v>1255</v>
      </c>
      <c r="Q27" s="177">
        <f>N27*Cashflow!$AN$63</f>
        <v>304.74862249398996</v>
      </c>
      <c r="R27" s="178">
        <f t="shared" si="8"/>
        <v>5497.2486224939894</v>
      </c>
      <c r="S27" s="184">
        <f t="shared" si="9"/>
        <v>1.7451582928552347</v>
      </c>
    </row>
    <row r="28" spans="2:19" x14ac:dyDescent="0.25">
      <c r="B28" s="176">
        <v>4000</v>
      </c>
      <c r="C28" s="177">
        <f>B28*Cashflow!$AM$96</f>
        <v>5000</v>
      </c>
      <c r="D28" s="177">
        <f>IF(B28&lt;Cashflow!$AK$92,0,IF(B28&lt;Cashflow!$AK$93,Cashflow!$AN$92,IF(B28&lt;Cashflow!$AK$94,Cashflow!$AN$93,Cashflow!$AN$94)))</f>
        <v>1255</v>
      </c>
      <c r="E28" s="177">
        <f>B28*Cashflow!$AN$63</f>
        <v>386.982377770146</v>
      </c>
      <c r="F28" s="178">
        <f t="shared" si="6"/>
        <v>6641.9823777701458</v>
      </c>
      <c r="G28" s="184">
        <f t="shared" si="7"/>
        <v>1.6604955944425364</v>
      </c>
      <c r="K28" s="185"/>
      <c r="L28" s="185"/>
      <c r="N28" s="176">
        <v>4000</v>
      </c>
      <c r="O28" s="177">
        <f>N28*Cashflow!$AM$96</f>
        <v>5000</v>
      </c>
      <c r="P28" s="177">
        <f>IF(N28&lt;Cashflow!$AK$92,0,IF(N28&lt;Cashflow!$AK$93,Cashflow!$AN$92,IF(N28&lt;Cashflow!$AK$94,Cashflow!$AN$93,Cashflow!$AN$94)))</f>
        <v>1255</v>
      </c>
      <c r="Q28" s="177">
        <f>N28*Cashflow!$AN$63</f>
        <v>386.982377770146</v>
      </c>
      <c r="R28" s="178">
        <f t="shared" si="8"/>
        <v>6641.9823777701458</v>
      </c>
      <c r="S28" s="184">
        <f t="shared" si="9"/>
        <v>1.6604955944425364</v>
      </c>
    </row>
    <row r="29" spans="2:19" x14ac:dyDescent="0.25">
      <c r="B29" s="176">
        <v>5000</v>
      </c>
      <c r="C29" s="177">
        <f>B29*Cashflow!$AM$96</f>
        <v>6250</v>
      </c>
      <c r="D29" s="177">
        <f>IF(B29&lt;Cashflow!$AK$92,0,IF(B29&lt;Cashflow!$AK$93,Cashflow!$AN$92,IF(B29&lt;Cashflow!$AK$94,Cashflow!$AN$93,Cashflow!$AN$94)))</f>
        <v>1255</v>
      </c>
      <c r="E29" s="177">
        <f>B29*Cashflow!$AN$63</f>
        <v>483.72797221268252</v>
      </c>
      <c r="F29" s="178">
        <f t="shared" si="6"/>
        <v>7988.7279722126823</v>
      </c>
      <c r="G29" s="184">
        <f t="shared" si="7"/>
        <v>1.5977455944425365</v>
      </c>
      <c r="K29" s="185"/>
      <c r="L29" s="185"/>
      <c r="N29" s="176">
        <v>5000</v>
      </c>
      <c r="O29" s="177">
        <f>N29*Cashflow!$AM$96</f>
        <v>6250</v>
      </c>
      <c r="P29" s="177">
        <f>IF(N29&lt;Cashflow!$AK$92,0,IF(N29&lt;Cashflow!$AK$93,Cashflow!$AN$92,IF(N29&lt;Cashflow!$AK$94,Cashflow!$AN$93,Cashflow!$AN$94)))</f>
        <v>1255</v>
      </c>
      <c r="Q29" s="177">
        <f>N29*Cashflow!$AN$63</f>
        <v>483.72797221268252</v>
      </c>
      <c r="R29" s="178">
        <f t="shared" si="8"/>
        <v>7988.7279722126823</v>
      </c>
      <c r="S29" s="184">
        <f t="shared" si="9"/>
        <v>1.5977455944425365</v>
      </c>
    </row>
    <row r="30" spans="2:19" x14ac:dyDescent="0.25">
      <c r="B30" s="176">
        <v>6000</v>
      </c>
      <c r="C30" s="177">
        <f>B30*Cashflow!$AM$96</f>
        <v>7500</v>
      </c>
      <c r="D30" s="177">
        <f>IF(B30&lt;Cashflow!$AK$92,0,IF(B30&lt;Cashflow!$AK$93,Cashflow!$AN$92,IF(B30&lt;Cashflow!$AK$94,Cashflow!$AN$93,Cashflow!$AN$94)))</f>
        <v>1255</v>
      </c>
      <c r="E30" s="177">
        <f>B30*Cashflow!$AN$63</f>
        <v>580.47356665521897</v>
      </c>
      <c r="F30" s="178">
        <f t="shared" si="6"/>
        <v>9335.4735666552187</v>
      </c>
      <c r="G30" s="184">
        <f t="shared" si="7"/>
        <v>1.5559122611092031</v>
      </c>
      <c r="K30" s="185"/>
      <c r="L30" s="185"/>
      <c r="N30" s="176">
        <v>6000</v>
      </c>
      <c r="O30" s="177">
        <f>N30*Cashflow!$AM$96</f>
        <v>7500</v>
      </c>
      <c r="P30" s="177">
        <f>IF(N30&lt;Cashflow!$AK$92,0,IF(N30&lt;Cashflow!$AK$93,Cashflow!$AN$92,IF(N30&lt;Cashflow!$AK$94,Cashflow!$AN$93,Cashflow!$AN$94)))</f>
        <v>1255</v>
      </c>
      <c r="Q30" s="177">
        <f>N30*Cashflow!$AN$63</f>
        <v>580.47356665521897</v>
      </c>
      <c r="R30" s="178">
        <f t="shared" si="8"/>
        <v>9335.4735666552187</v>
      </c>
      <c r="S30" s="184">
        <f t="shared" si="9"/>
        <v>1.5559122611092031</v>
      </c>
    </row>
    <row r="31" spans="2:19" x14ac:dyDescent="0.25">
      <c r="B31" s="176">
        <v>7000</v>
      </c>
      <c r="C31" s="177">
        <f>B31*Cashflow!$AM$96</f>
        <v>8750</v>
      </c>
      <c r="D31" s="177">
        <f>IF(B31&lt;Cashflow!$AK$92,0,IF(B31&lt;Cashflow!$AK$93,Cashflow!$AN$92,IF(B31&lt;Cashflow!$AK$94,Cashflow!$AN$93,Cashflow!$AN$94)))</f>
        <v>1255</v>
      </c>
      <c r="E31" s="177">
        <f>B31*Cashflow!$AN$63</f>
        <v>677.21916109775543</v>
      </c>
      <c r="F31" s="178">
        <f t="shared" si="6"/>
        <v>10682.219161097755</v>
      </c>
      <c r="G31" s="184">
        <f t="shared" si="7"/>
        <v>1.5260313087282507</v>
      </c>
      <c r="K31" s="185"/>
      <c r="L31" s="185"/>
      <c r="N31" s="176">
        <v>7000</v>
      </c>
      <c r="O31" s="177">
        <f>N31*Cashflow!$AM$96</f>
        <v>8750</v>
      </c>
      <c r="P31" s="177">
        <f>IF(N31&lt;Cashflow!$AK$92,0,IF(N31&lt;Cashflow!$AK$93,Cashflow!$AN$92,IF(N31&lt;Cashflow!$AK$94,Cashflow!$AN$93,Cashflow!$AN$94)))</f>
        <v>1255</v>
      </c>
      <c r="Q31" s="177">
        <f>N31*Cashflow!$AN$63</f>
        <v>677.21916109775543</v>
      </c>
      <c r="R31" s="178">
        <f t="shared" si="8"/>
        <v>10682.219161097755</v>
      </c>
      <c r="S31" s="184">
        <f t="shared" si="9"/>
        <v>1.5260313087282507</v>
      </c>
    </row>
    <row r="32" spans="2:19" x14ac:dyDescent="0.25">
      <c r="B32" s="176">
        <v>8000</v>
      </c>
      <c r="C32" s="177">
        <f>B32*Cashflow!$AM$96</f>
        <v>10000</v>
      </c>
      <c r="D32" s="177">
        <f>IF(B32&lt;Cashflow!$AK$92,0,IF(B32&lt;Cashflow!$AK$93,Cashflow!$AN$92,IF(B32&lt;Cashflow!$AK$94,Cashflow!$AN$93,Cashflow!$AN$94)))</f>
        <v>1255</v>
      </c>
      <c r="E32" s="177">
        <f>B32*Cashflow!$AN$63</f>
        <v>773.964755540292</v>
      </c>
      <c r="F32" s="178">
        <f t="shared" si="6"/>
        <v>12028.964755540292</v>
      </c>
      <c r="G32" s="184">
        <f t="shared" si="7"/>
        <v>1.5036205944425365</v>
      </c>
      <c r="K32" s="185"/>
      <c r="L32" s="185"/>
      <c r="N32" s="176">
        <v>8000</v>
      </c>
      <c r="O32" s="177">
        <f>N32*Cashflow!$AM$96</f>
        <v>10000</v>
      </c>
      <c r="P32" s="177">
        <f>IF(N32&lt;Cashflow!$AK$92,0,IF(N32&lt;Cashflow!$AK$93,Cashflow!$AN$92,IF(N32&lt;Cashflow!$AK$94,Cashflow!$AN$93,Cashflow!$AN$94)))</f>
        <v>1255</v>
      </c>
      <c r="Q32" s="177">
        <f>N32*Cashflow!$AN$63</f>
        <v>773.964755540292</v>
      </c>
      <c r="R32" s="178">
        <f t="shared" si="8"/>
        <v>12028.964755540292</v>
      </c>
      <c r="S32" s="184">
        <f t="shared" si="9"/>
        <v>1.5036205944425365</v>
      </c>
    </row>
    <row r="33" spans="2:19" x14ac:dyDescent="0.25">
      <c r="B33" s="176">
        <v>9000</v>
      </c>
      <c r="C33" s="177">
        <f>B33*Cashflow!$AM$96</f>
        <v>11250</v>
      </c>
      <c r="D33" s="177">
        <f>IF(B33&lt;Cashflow!$AK$92,0,IF(B33&lt;Cashflow!$AK$93,Cashflow!$AN$92,IF(B33&lt;Cashflow!$AK$94,Cashflow!$AN$93,Cashflow!$AN$94)))</f>
        <v>1255</v>
      </c>
      <c r="E33" s="177">
        <f>B33*Cashflow!$AN$63</f>
        <v>870.71034998282846</v>
      </c>
      <c r="F33" s="178">
        <f t="shared" si="6"/>
        <v>13375.710349982828</v>
      </c>
      <c r="G33" s="184">
        <f t="shared" si="7"/>
        <v>1.4861900388869809</v>
      </c>
      <c r="K33" s="185"/>
      <c r="L33" s="185"/>
      <c r="N33" s="176">
        <v>9000</v>
      </c>
      <c r="O33" s="177">
        <f>N33*Cashflow!$AM$96</f>
        <v>11250</v>
      </c>
      <c r="P33" s="177">
        <f>IF(N33&lt;Cashflow!$AK$92,0,IF(N33&lt;Cashflow!$AK$93,Cashflow!$AN$92,IF(N33&lt;Cashflow!$AK$94,Cashflow!$AN$93,Cashflow!$AN$94)))</f>
        <v>1255</v>
      </c>
      <c r="Q33" s="177">
        <f>N33*Cashflow!$AN$63</f>
        <v>870.71034998282846</v>
      </c>
      <c r="R33" s="178">
        <f t="shared" si="8"/>
        <v>13375.710349982828</v>
      </c>
      <c r="S33" s="184">
        <f t="shared" si="9"/>
        <v>1.4861900388869809</v>
      </c>
    </row>
    <row r="34" spans="2:19" x14ac:dyDescent="0.25">
      <c r="B34" s="176">
        <v>10000</v>
      </c>
      <c r="C34" s="177">
        <f>B34*Cashflow!$AM$96</f>
        <v>12500</v>
      </c>
      <c r="D34" s="177">
        <f>IF(B34&lt;Cashflow!$AK$92,0,IF(B34&lt;Cashflow!$AK$93,Cashflow!$AN$92,IF(B34&lt;Cashflow!$AK$94,Cashflow!$AN$93,Cashflow!$AN$94)))</f>
        <v>1255</v>
      </c>
      <c r="E34" s="177">
        <f>B34*Cashflow!$AN$63</f>
        <v>967.45594442536503</v>
      </c>
      <c r="F34" s="178">
        <f t="shared" si="6"/>
        <v>14722.455944425365</v>
      </c>
      <c r="G34" s="184">
        <f t="shared" si="7"/>
        <v>1.4722455944425366</v>
      </c>
      <c r="K34" s="185"/>
      <c r="L34" s="185"/>
      <c r="N34" s="176">
        <v>10000</v>
      </c>
      <c r="O34" s="177">
        <f>N34*Cashflow!$AM$96</f>
        <v>12500</v>
      </c>
      <c r="P34" s="177">
        <f>IF(N34&lt;Cashflow!$AK$92,0,IF(N34&lt;Cashflow!$AK$93,Cashflow!$AN$92,IF(N34&lt;Cashflow!$AK$94,Cashflow!$AN$93,Cashflow!$AN$94)))</f>
        <v>1255</v>
      </c>
      <c r="Q34" s="177">
        <f>N34*Cashflow!$AN$63</f>
        <v>967.45594442536503</v>
      </c>
      <c r="R34" s="178">
        <f t="shared" si="8"/>
        <v>14722.455944425365</v>
      </c>
      <c r="S34" s="184">
        <f t="shared" si="9"/>
        <v>1.4722455944425366</v>
      </c>
    </row>
    <row r="35" spans="2:19" x14ac:dyDescent="0.25">
      <c r="B35" s="176">
        <v>11000</v>
      </c>
      <c r="C35" s="177">
        <f>B35*Cashflow!$AM$96</f>
        <v>13750</v>
      </c>
      <c r="D35" s="177">
        <f>IF(B35&lt;Cashflow!$AK$92,0,IF(B35&lt;Cashflow!$AK$93,Cashflow!$AN$92,IF(B35&lt;Cashflow!$AK$94,Cashflow!$AN$93,Cashflow!$AN$94)))</f>
        <v>1255</v>
      </c>
      <c r="E35" s="177">
        <f>B35*Cashflow!$AN$63</f>
        <v>1064.2015388679015</v>
      </c>
      <c r="F35" s="178">
        <f t="shared" si="6"/>
        <v>16069.201538867901</v>
      </c>
      <c r="G35" s="184">
        <f t="shared" si="7"/>
        <v>1.4608365035334456</v>
      </c>
      <c r="K35" s="185"/>
      <c r="L35" s="185"/>
      <c r="N35" s="176">
        <v>11000</v>
      </c>
      <c r="O35" s="177">
        <f>N35*Cashflow!$AM$96</f>
        <v>13750</v>
      </c>
      <c r="P35" s="177">
        <f>IF(N35&lt;Cashflow!$AK$92,0,IF(N35&lt;Cashflow!$AK$93,Cashflow!$AN$92,IF(N35&lt;Cashflow!$AK$94,Cashflow!$AN$93,Cashflow!$AN$94)))</f>
        <v>1255</v>
      </c>
      <c r="Q35" s="177">
        <f>N35*Cashflow!$AN$63</f>
        <v>1064.2015388679015</v>
      </c>
      <c r="R35" s="178">
        <f t="shared" si="8"/>
        <v>16069.201538867901</v>
      </c>
      <c r="S35" s="184">
        <f t="shared" si="9"/>
        <v>1.4608365035334456</v>
      </c>
    </row>
    <row r="36" spans="2:19" x14ac:dyDescent="0.25">
      <c r="B36" s="176">
        <v>13000</v>
      </c>
      <c r="C36" s="177">
        <f>B36*Cashflow!$AM$96</f>
        <v>16250</v>
      </c>
      <c r="D36" s="177">
        <f>IF(B36&lt;Cashflow!$AK$92,0,IF(B36&lt;Cashflow!$AK$93,Cashflow!$AN$92,IF(B36&lt;Cashflow!$AK$94,Cashflow!$AN$93,Cashflow!$AN$94)))</f>
        <v>1255</v>
      </c>
      <c r="E36" s="177">
        <f>B36*Cashflow!$AN$63</f>
        <v>1257.6927277529744</v>
      </c>
      <c r="F36" s="178">
        <f t="shared" si="6"/>
        <v>18762.692727752976</v>
      </c>
      <c r="G36" s="184">
        <f t="shared" si="7"/>
        <v>1.4432840559809981</v>
      </c>
      <c r="K36" s="185"/>
      <c r="L36" s="185"/>
      <c r="N36" s="176">
        <v>13000</v>
      </c>
      <c r="O36" s="177">
        <f>N36*Cashflow!$AM$96</f>
        <v>16250</v>
      </c>
      <c r="P36" s="177">
        <f>IF(N36&lt;Cashflow!$AK$92,0,IF(N36&lt;Cashflow!$AK$93,Cashflow!$AN$92,IF(N36&lt;Cashflow!$AK$94,Cashflow!$AN$93,Cashflow!$AN$94)))</f>
        <v>1255</v>
      </c>
      <c r="Q36" s="177">
        <f>N36*Cashflow!$AN$63</f>
        <v>1257.6927277529744</v>
      </c>
      <c r="R36" s="178">
        <f t="shared" si="8"/>
        <v>18762.692727752976</v>
      </c>
      <c r="S36" s="184">
        <f t="shared" si="9"/>
        <v>1.4432840559809981</v>
      </c>
    </row>
    <row r="37" spans="2:19" ht="15.75" thickBot="1" x14ac:dyDescent="0.3">
      <c r="B37" s="176">
        <v>15000</v>
      </c>
      <c r="C37" s="177">
        <f>B37*Cashflow!$AM$96</f>
        <v>18750</v>
      </c>
      <c r="D37" s="177">
        <f>IF(B37&lt;Cashflow!$AK$92,0,IF(B37&lt;Cashflow!$AK$93,Cashflow!$AN$92,IF(B37&lt;Cashflow!$AK$94,Cashflow!$AN$93,Cashflow!$AN$94)))</f>
        <v>1255</v>
      </c>
      <c r="E37" s="177">
        <f>B37*Cashflow!$AN$63</f>
        <v>1451.1839166380475</v>
      </c>
      <c r="F37" s="180">
        <f t="shared" si="6"/>
        <v>21456.183916638049</v>
      </c>
      <c r="G37" s="186">
        <f t="shared" si="7"/>
        <v>1.4304122611092032</v>
      </c>
      <c r="K37" s="185"/>
      <c r="L37" s="185"/>
      <c r="N37" s="176">
        <v>15000</v>
      </c>
      <c r="O37" s="177">
        <f>N37*Cashflow!$AM$96</f>
        <v>18750</v>
      </c>
      <c r="P37" s="177">
        <f>IF(N37&lt;Cashflow!$AK$92,0,IF(N37&lt;Cashflow!$AK$93,Cashflow!$AN$92,IF(N37&lt;Cashflow!$AK$94,Cashflow!$AN$93,Cashflow!$AN$94)))</f>
        <v>1255</v>
      </c>
      <c r="Q37" s="177">
        <f>N37*Cashflow!$AN$63</f>
        <v>1451.1839166380475</v>
      </c>
      <c r="R37" s="180">
        <f t="shared" si="8"/>
        <v>21456.183916638049</v>
      </c>
      <c r="S37" s="186">
        <f t="shared" si="9"/>
        <v>1.4304122611092032</v>
      </c>
    </row>
    <row r="38" spans="2:19" x14ac:dyDescent="0.25">
      <c r="D38" s="190"/>
    </row>
    <row r="41" spans="2:19" x14ac:dyDescent="0.25">
      <c r="B41" s="187"/>
      <c r="C41" s="187"/>
      <c r="D41" s="187"/>
      <c r="E41" s="187"/>
      <c r="F41" s="187"/>
      <c r="G41" s="187"/>
      <c r="H41" s="187"/>
      <c r="I41" s="188"/>
      <c r="J41" s="189"/>
    </row>
  </sheetData>
  <sheetProtection sheet="1" objects="1" scenarios="1"/>
  <mergeCells count="4">
    <mergeCell ref="B2:F2"/>
    <mergeCell ref="N2:R2"/>
    <mergeCell ref="B21:G21"/>
    <mergeCell ref="N21:S2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Introduction</vt:lpstr>
      <vt:lpstr>Cashflow</vt:lpstr>
      <vt:lpstr>Indicative Income 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Digby</dc:creator>
  <cp:lastModifiedBy>Michael Digby</cp:lastModifiedBy>
  <dcterms:created xsi:type="dcterms:W3CDTF">2016-10-21T09:07:12Z</dcterms:created>
  <dcterms:modified xsi:type="dcterms:W3CDTF">2017-08-10T09:38:17Z</dcterms:modified>
</cp:coreProperties>
</file>