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ThisWorkbook"/>
  <mc:AlternateContent xmlns:mc="http://schemas.openxmlformats.org/markup-compatibility/2006">
    <mc:Choice Requires="x15">
      <x15ac:absPath xmlns:x15ac="http://schemas.microsoft.com/office/spreadsheetml/2010/11/ac" url="C:\Users\jcresswell\OneDrive - PSNC\2019 funding negs work\comms\"/>
    </mc:Choice>
  </mc:AlternateContent>
  <xr:revisionPtr revIDLastSave="702" documentId="13_ncr:1_{A62CE5AD-65BE-4CBA-9D81-81C475987E7C}" xr6:coauthVersionLast="44" xr6:coauthVersionMax="44" xr10:uidLastSave="{49BB5826-3A2B-484B-BFE5-BFE4D0933380}"/>
  <bookViews>
    <workbookView xWindow="-120" yWindow="-120" windowWidth="29040" windowHeight="15840" xr2:uid="{109F44E6-CB91-4CDF-AADF-2C008A986FE7}"/>
  </bookViews>
  <sheets>
    <sheet name="Introduction" sheetId="3" r:id="rId1"/>
    <sheet name="Cashflow" sheetId="4" r:id="rId2"/>
    <sheet name="Indicative Income Tables" sheetId="5" r:id="rId3"/>
  </sheets>
  <externalReferences>
    <externalReference r:id="rId4"/>
  </externalReferences>
  <definedNames>
    <definedName name="Accruals">[1]Forecast!$E:$E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T31" i="5" l="1"/>
  <c r="T32" i="5"/>
  <c r="T33" i="5"/>
  <c r="T34" i="5"/>
  <c r="T35" i="5"/>
  <c r="T36" i="5"/>
  <c r="T37" i="5"/>
  <c r="T27" i="5"/>
  <c r="T28" i="5"/>
  <c r="T29" i="5"/>
  <c r="T30" i="5"/>
  <c r="T24" i="5"/>
  <c r="T25" i="5"/>
  <c r="T26" i="5"/>
  <c r="T23" i="5"/>
  <c r="W26" i="4"/>
  <c r="X26" i="4"/>
  <c r="Y26" i="4"/>
  <c r="Z26" i="4"/>
  <c r="AA26" i="4"/>
  <c r="AB26" i="4"/>
  <c r="AC26" i="4"/>
  <c r="AD26" i="4"/>
  <c r="AE26" i="4"/>
  <c r="V26" i="4"/>
  <c r="AK45" i="4"/>
  <c r="AK46" i="4"/>
  <c r="AK47" i="4"/>
  <c r="AK44" i="4"/>
  <c r="R24" i="5" l="1"/>
  <c r="R25" i="5"/>
  <c r="R26" i="5"/>
  <c r="R27" i="5"/>
  <c r="R28" i="5"/>
  <c r="R29" i="5"/>
  <c r="R30" i="5"/>
  <c r="R31" i="5"/>
  <c r="R32" i="5"/>
  <c r="R33" i="5"/>
  <c r="R34" i="5"/>
  <c r="R35" i="5"/>
  <c r="R36" i="5"/>
  <c r="R37" i="5"/>
  <c r="R23" i="5"/>
  <c r="X25" i="4" l="1"/>
  <c r="M37" i="5" l="1"/>
  <c r="M36" i="5"/>
  <c r="M35" i="5"/>
  <c r="M34" i="5"/>
  <c r="M33" i="5"/>
  <c r="M32" i="5"/>
  <c r="M31" i="5"/>
  <c r="M30" i="5"/>
  <c r="M29" i="5"/>
  <c r="M28" i="5"/>
  <c r="M27" i="5"/>
  <c r="M26" i="5"/>
  <c r="M24" i="5"/>
  <c r="M25" i="5"/>
  <c r="M23" i="5"/>
  <c r="K24" i="5"/>
  <c r="K23" i="5"/>
  <c r="J24" i="5"/>
  <c r="J25" i="5"/>
  <c r="J26" i="5"/>
  <c r="J27" i="5"/>
  <c r="J28" i="5"/>
  <c r="J29" i="5"/>
  <c r="J30" i="5"/>
  <c r="J31" i="5"/>
  <c r="J32" i="5"/>
  <c r="J33" i="5"/>
  <c r="J34" i="5"/>
  <c r="J35" i="5"/>
  <c r="J36" i="5"/>
  <c r="J37" i="5"/>
  <c r="J23" i="5"/>
  <c r="G34" i="4" l="1"/>
  <c r="H34" i="4"/>
  <c r="I34" i="4"/>
  <c r="J34" i="4"/>
  <c r="K34" i="4"/>
  <c r="L34" i="4"/>
  <c r="M34" i="4"/>
  <c r="N34" i="4"/>
  <c r="O34" i="4"/>
  <c r="P34" i="4"/>
  <c r="Q34" i="4"/>
  <c r="R34" i="4"/>
  <c r="S34" i="4"/>
  <c r="T34" i="4"/>
  <c r="U34" i="4"/>
  <c r="V34" i="4"/>
  <c r="W34" i="4"/>
  <c r="X34" i="4"/>
  <c r="Y34" i="4"/>
  <c r="Z34" i="4"/>
  <c r="AA34" i="4"/>
  <c r="AB34" i="4"/>
  <c r="AC34" i="4"/>
  <c r="AD34" i="4"/>
  <c r="AE34" i="4"/>
  <c r="F34" i="4"/>
  <c r="G31" i="4"/>
  <c r="H31" i="4"/>
  <c r="I31" i="4"/>
  <c r="J31" i="4"/>
  <c r="K31" i="4"/>
  <c r="L31" i="4"/>
  <c r="M31" i="4"/>
  <c r="N31" i="4"/>
  <c r="O31" i="4"/>
  <c r="P31" i="4"/>
  <c r="Q31" i="4"/>
  <c r="R31" i="4"/>
  <c r="S31" i="4"/>
  <c r="T31" i="4"/>
  <c r="U31" i="4"/>
  <c r="V31" i="4"/>
  <c r="W31" i="4"/>
  <c r="X31" i="4"/>
  <c r="Y31" i="4"/>
  <c r="Z31" i="4"/>
  <c r="AA31" i="4"/>
  <c r="AB31" i="4"/>
  <c r="AC31" i="4"/>
  <c r="AD31" i="4"/>
  <c r="AE31" i="4"/>
  <c r="F31" i="4"/>
  <c r="E15" i="4" l="1"/>
  <c r="E16" i="4" s="1"/>
  <c r="G32" i="4" l="1"/>
  <c r="G33" i="4" s="1"/>
  <c r="F32" i="4"/>
  <c r="F33" i="4" s="1"/>
  <c r="AD25" i="4"/>
  <c r="S25" i="4"/>
  <c r="O25" i="4"/>
  <c r="AR53" i="4"/>
  <c r="AS28" i="4" l="1"/>
  <c r="AS26" i="4"/>
  <c r="S11" i="5" l="1"/>
  <c r="S14" i="5"/>
  <c r="S15" i="5"/>
  <c r="S16" i="5"/>
  <c r="S5" i="5"/>
  <c r="S13" i="5"/>
  <c r="S17" i="5"/>
  <c r="S6" i="5"/>
  <c r="S18" i="5"/>
  <c r="S7" i="5"/>
  <c r="S4" i="5"/>
  <c r="S8" i="5"/>
  <c r="S9" i="5"/>
  <c r="S10" i="5"/>
  <c r="S12" i="5"/>
  <c r="S25" i="5"/>
  <c r="U25" i="5" s="1"/>
  <c r="S37" i="5"/>
  <c r="U37" i="5" s="1"/>
  <c r="S26" i="5"/>
  <c r="U26" i="5" s="1"/>
  <c r="S23" i="5"/>
  <c r="U23" i="5" s="1"/>
  <c r="S27" i="5"/>
  <c r="U27" i="5" s="1"/>
  <c r="S28" i="5"/>
  <c r="U28" i="5" s="1"/>
  <c r="S29" i="5"/>
  <c r="U29" i="5" s="1"/>
  <c r="S30" i="5"/>
  <c r="U30" i="5" s="1"/>
  <c r="S31" i="5"/>
  <c r="U31" i="5" s="1"/>
  <c r="S32" i="5"/>
  <c r="U32" i="5" s="1"/>
  <c r="S33" i="5"/>
  <c r="U33" i="5" s="1"/>
  <c r="S34" i="5"/>
  <c r="U34" i="5" s="1"/>
  <c r="S35" i="5"/>
  <c r="U35" i="5" s="1"/>
  <c r="S24" i="5"/>
  <c r="U24" i="5" s="1"/>
  <c r="S36" i="5"/>
  <c r="U36" i="5" s="1"/>
  <c r="AS53" i="4"/>
  <c r="K25" i="5" s="1"/>
  <c r="AS54" i="4"/>
  <c r="K26" i="5" s="1"/>
  <c r="AS55" i="4"/>
  <c r="AR54" i="4"/>
  <c r="AR55" i="4"/>
  <c r="R11" i="5" l="1"/>
  <c r="T11" i="5" s="1"/>
  <c r="U11" i="5" s="1"/>
  <c r="V30" i="5"/>
  <c r="R4" i="5"/>
  <c r="T4" i="5" s="1"/>
  <c r="U4" i="5" s="1"/>
  <c r="V23" i="5"/>
  <c r="K33" i="5"/>
  <c r="K32" i="5"/>
  <c r="K31" i="5"/>
  <c r="K30" i="5"/>
  <c r="K29" i="5"/>
  <c r="K28" i="5"/>
  <c r="K37" i="5"/>
  <c r="K34" i="5"/>
  <c r="K27" i="5"/>
  <c r="K36" i="5"/>
  <c r="K35" i="5"/>
  <c r="V28" i="5"/>
  <c r="R9" i="5"/>
  <c r="T9" i="5" s="1"/>
  <c r="U9" i="5" s="1"/>
  <c r="V27" i="5"/>
  <c r="R8" i="5"/>
  <c r="T8" i="5" s="1"/>
  <c r="U8" i="5" s="1"/>
  <c r="R17" i="5"/>
  <c r="T17" i="5" s="1"/>
  <c r="U17" i="5" s="1"/>
  <c r="V36" i="5"/>
  <c r="R7" i="5"/>
  <c r="T7" i="5" s="1"/>
  <c r="U7" i="5" s="1"/>
  <c r="V26" i="5"/>
  <c r="V31" i="5"/>
  <c r="R12" i="5"/>
  <c r="T12" i="5" s="1"/>
  <c r="U12" i="5" s="1"/>
  <c r="V29" i="5"/>
  <c r="R10" i="5"/>
  <c r="T10" i="5" s="1"/>
  <c r="U10" i="5" s="1"/>
  <c r="R5" i="5"/>
  <c r="T5" i="5" s="1"/>
  <c r="U5" i="5" s="1"/>
  <c r="V24" i="5"/>
  <c r="V37" i="5"/>
  <c r="R18" i="5"/>
  <c r="T18" i="5" s="1"/>
  <c r="U18" i="5" s="1"/>
  <c r="V35" i="5"/>
  <c r="R16" i="5"/>
  <c r="T16" i="5" s="1"/>
  <c r="U16" i="5" s="1"/>
  <c r="R6" i="5"/>
  <c r="T6" i="5" s="1"/>
  <c r="U6" i="5" s="1"/>
  <c r="V25" i="5"/>
  <c r="V34" i="5"/>
  <c r="R15" i="5"/>
  <c r="T15" i="5" s="1"/>
  <c r="U15" i="5" s="1"/>
  <c r="V33" i="5"/>
  <c r="R14" i="5"/>
  <c r="T14" i="5" s="1"/>
  <c r="U14" i="5" s="1"/>
  <c r="R13" i="5"/>
  <c r="T13" i="5" s="1"/>
  <c r="U13" i="5" s="1"/>
  <c r="V32" i="5"/>
  <c r="C24" i="5"/>
  <c r="C25" i="5"/>
  <c r="C26" i="5"/>
  <c r="C27" i="5"/>
  <c r="C28" i="5"/>
  <c r="C29" i="5"/>
  <c r="C30" i="5"/>
  <c r="C31" i="5"/>
  <c r="C32" i="5"/>
  <c r="C33" i="5"/>
  <c r="C34" i="5"/>
  <c r="C35" i="5"/>
  <c r="C36" i="5"/>
  <c r="C37" i="5"/>
  <c r="C23" i="5"/>
  <c r="B24" i="5"/>
  <c r="B25" i="5"/>
  <c r="B26" i="5"/>
  <c r="B27" i="5"/>
  <c r="B28" i="5"/>
  <c r="B29" i="5"/>
  <c r="B30" i="5"/>
  <c r="B31" i="5"/>
  <c r="B32" i="5"/>
  <c r="B33" i="5"/>
  <c r="B34" i="5"/>
  <c r="B35" i="5"/>
  <c r="B36" i="5"/>
  <c r="B37" i="5"/>
  <c r="B23" i="5"/>
  <c r="AM28" i="4" l="1"/>
  <c r="AM26" i="4"/>
  <c r="K11" i="5" l="1"/>
  <c r="K10" i="5"/>
  <c r="K4" i="5"/>
  <c r="K9" i="5"/>
  <c r="K8" i="5"/>
  <c r="K12" i="5"/>
  <c r="K7" i="5"/>
  <c r="K18" i="5"/>
  <c r="K6" i="5"/>
  <c r="K17" i="5"/>
  <c r="K5" i="5"/>
  <c r="K16" i="5"/>
  <c r="K15" i="5"/>
  <c r="K14" i="5"/>
  <c r="K13" i="5"/>
  <c r="L27" i="5"/>
  <c r="N27" i="5" s="1"/>
  <c r="L26" i="5"/>
  <c r="N26" i="5" s="1"/>
  <c r="L37" i="5"/>
  <c r="N37" i="5" s="1"/>
  <c r="L25" i="5"/>
  <c r="N25" i="5" s="1"/>
  <c r="L36" i="5"/>
  <c r="N36" i="5" s="1"/>
  <c r="L24" i="5"/>
  <c r="N24" i="5" s="1"/>
  <c r="L31" i="5"/>
  <c r="N31" i="5" s="1"/>
  <c r="L35" i="5"/>
  <c r="N35" i="5" s="1"/>
  <c r="L23" i="5"/>
  <c r="N23" i="5" s="1"/>
  <c r="L34" i="5"/>
  <c r="N34" i="5" s="1"/>
  <c r="L33" i="5"/>
  <c r="N33" i="5" s="1"/>
  <c r="L32" i="5"/>
  <c r="N32" i="5" s="1"/>
  <c r="L28" i="5"/>
  <c r="N28" i="5" s="1"/>
  <c r="L30" i="5"/>
  <c r="N30" i="5" s="1"/>
  <c r="L29" i="5"/>
  <c r="N29" i="5" s="1"/>
  <c r="C5" i="5"/>
  <c r="C9" i="5"/>
  <c r="C13" i="5"/>
  <c r="C17" i="5"/>
  <c r="C6" i="5"/>
  <c r="C10" i="5"/>
  <c r="C14" i="5"/>
  <c r="C18" i="5"/>
  <c r="C7" i="5"/>
  <c r="C11" i="5"/>
  <c r="C15" i="5"/>
  <c r="C4" i="5"/>
  <c r="C8" i="5"/>
  <c r="C12" i="5"/>
  <c r="C16" i="5"/>
  <c r="D25" i="5"/>
  <c r="E25" i="5" s="1"/>
  <c r="F25" i="5" s="1"/>
  <c r="D29" i="5"/>
  <c r="E29" i="5" s="1"/>
  <c r="D33" i="5"/>
  <c r="E33" i="5" s="1"/>
  <c r="F33" i="5" s="1"/>
  <c r="D37" i="5"/>
  <c r="E37" i="5" s="1"/>
  <c r="F37" i="5" s="1"/>
  <c r="D26" i="5"/>
  <c r="E26" i="5" s="1"/>
  <c r="D30" i="5"/>
  <c r="E30" i="5" s="1"/>
  <c r="D34" i="5"/>
  <c r="E34" i="5" s="1"/>
  <c r="D23" i="5"/>
  <c r="E23" i="5" s="1"/>
  <c r="F23" i="5" s="1"/>
  <c r="D27" i="5"/>
  <c r="E27" i="5" s="1"/>
  <c r="D31" i="5"/>
  <c r="E31" i="5" s="1"/>
  <c r="B12" i="5" s="1"/>
  <c r="D35" i="5"/>
  <c r="E35" i="5" s="1"/>
  <c r="B16" i="5" s="1"/>
  <c r="D24" i="5"/>
  <c r="E24" i="5" s="1"/>
  <c r="D28" i="5"/>
  <c r="E28" i="5" s="1"/>
  <c r="D32" i="5"/>
  <c r="E32" i="5" s="1"/>
  <c r="B13" i="5" s="1"/>
  <c r="D36" i="5"/>
  <c r="E36" i="5" s="1"/>
  <c r="J4" i="5" l="1"/>
  <c r="L4" i="5" s="1"/>
  <c r="M4" i="5" s="1"/>
  <c r="O23" i="5"/>
  <c r="O31" i="5"/>
  <c r="J12" i="5"/>
  <c r="L12" i="5" s="1"/>
  <c r="M12" i="5" s="1"/>
  <c r="O36" i="5"/>
  <c r="J17" i="5"/>
  <c r="L17" i="5" s="1"/>
  <c r="M17" i="5" s="1"/>
  <c r="O25" i="5"/>
  <c r="J6" i="5"/>
  <c r="L6" i="5" s="1"/>
  <c r="M6" i="5" s="1"/>
  <c r="J16" i="5"/>
  <c r="L16" i="5" s="1"/>
  <c r="M16" i="5" s="1"/>
  <c r="O35" i="5"/>
  <c r="J10" i="5"/>
  <c r="L10" i="5" s="1"/>
  <c r="M10" i="5" s="1"/>
  <c r="O29" i="5"/>
  <c r="O30" i="5"/>
  <c r="J11" i="5"/>
  <c r="L11" i="5" s="1"/>
  <c r="M11" i="5" s="1"/>
  <c r="O26" i="5"/>
  <c r="J7" i="5"/>
  <c r="L7" i="5" s="1"/>
  <c r="M7" i="5" s="1"/>
  <c r="J9" i="5"/>
  <c r="L9" i="5" s="1"/>
  <c r="M9" i="5" s="1"/>
  <c r="O28" i="5"/>
  <c r="O27" i="5"/>
  <c r="J8" i="5"/>
  <c r="L8" i="5" s="1"/>
  <c r="M8" i="5" s="1"/>
  <c r="J15" i="5"/>
  <c r="L15" i="5" s="1"/>
  <c r="M15" i="5" s="1"/>
  <c r="O34" i="5"/>
  <c r="O24" i="5"/>
  <c r="J5" i="5"/>
  <c r="L5" i="5" s="1"/>
  <c r="M5" i="5" s="1"/>
  <c r="O37" i="5"/>
  <c r="J18" i="5"/>
  <c r="L18" i="5" s="1"/>
  <c r="M18" i="5" s="1"/>
  <c r="O32" i="5"/>
  <c r="J13" i="5"/>
  <c r="L13" i="5" s="1"/>
  <c r="M13" i="5" s="1"/>
  <c r="O33" i="5"/>
  <c r="J14" i="5"/>
  <c r="L14" i="5" s="1"/>
  <c r="M14" i="5" s="1"/>
  <c r="B18" i="5"/>
  <c r="D18" i="5" s="1"/>
  <c r="E18" i="5" s="1"/>
  <c r="F35" i="5"/>
  <c r="B14" i="5"/>
  <c r="D14" i="5" s="1"/>
  <c r="E14" i="5" s="1"/>
  <c r="F31" i="5"/>
  <c r="F32" i="5"/>
  <c r="F26" i="5"/>
  <c r="B7" i="5"/>
  <c r="D7" i="5" s="1"/>
  <c r="E7" i="5" s="1"/>
  <c r="F24" i="5"/>
  <c r="B5" i="5"/>
  <c r="D5" i="5" s="1"/>
  <c r="E5" i="5" s="1"/>
  <c r="B6" i="5"/>
  <c r="D6" i="5" s="1"/>
  <c r="E6" i="5" s="1"/>
  <c r="B4" i="5"/>
  <c r="D4" i="5" s="1"/>
  <c r="E4" i="5" s="1"/>
  <c r="F36" i="5"/>
  <c r="B17" i="5"/>
  <c r="D17" i="5" s="1"/>
  <c r="E17" i="5" s="1"/>
  <c r="D16" i="5"/>
  <c r="E16" i="5" s="1"/>
  <c r="F34" i="5"/>
  <c r="B15" i="5"/>
  <c r="D15" i="5" s="1"/>
  <c r="E15" i="5" s="1"/>
  <c r="D13" i="5"/>
  <c r="E13" i="5" s="1"/>
  <c r="D12" i="5"/>
  <c r="E12" i="5" s="1"/>
  <c r="B11" i="5"/>
  <c r="D11" i="5" s="1"/>
  <c r="E11" i="5" s="1"/>
  <c r="F30" i="5"/>
  <c r="B10" i="5"/>
  <c r="D10" i="5" s="1"/>
  <c r="E10" i="5" s="1"/>
  <c r="F29" i="5"/>
  <c r="F27" i="5"/>
  <c r="B8" i="5"/>
  <c r="D8" i="5" s="1"/>
  <c r="E8" i="5" s="1"/>
  <c r="B9" i="5"/>
  <c r="D9" i="5" s="1"/>
  <c r="E9" i="5" s="1"/>
  <c r="F28" i="5"/>
  <c r="F15" i="4" l="1"/>
  <c r="H37" i="4" s="1"/>
  <c r="H24" i="4" l="1"/>
  <c r="H22" i="4"/>
  <c r="F18" i="4"/>
  <c r="G15" i="4"/>
  <c r="F16" i="4"/>
  <c r="H32" i="4" s="1"/>
  <c r="H33" i="4" s="1"/>
  <c r="I37" i="4" l="1"/>
  <c r="H23" i="4"/>
  <c r="H38" i="4" s="1"/>
  <c r="I24" i="4"/>
  <c r="I22" i="4"/>
  <c r="H15" i="4"/>
  <c r="G16" i="4"/>
  <c r="I32" i="4" s="1"/>
  <c r="I33" i="4" s="1"/>
  <c r="I40" i="4" l="1"/>
  <c r="J22" i="4"/>
  <c r="I23" i="4"/>
  <c r="I38" i="4" s="1"/>
  <c r="F19" i="4"/>
  <c r="F17" i="4"/>
  <c r="G18" i="4" s="1"/>
  <c r="G19" i="4"/>
  <c r="G17" i="4"/>
  <c r="H18" i="4" s="1"/>
  <c r="J24" i="4"/>
  <c r="H16" i="4"/>
  <c r="J32" i="4" s="1"/>
  <c r="J33" i="4" s="1"/>
  <c r="J37" i="4"/>
  <c r="I15" i="4"/>
  <c r="J23" i="4" s="1"/>
  <c r="H17" i="4"/>
  <c r="I18" i="4" s="1"/>
  <c r="H19" i="4"/>
  <c r="J40" i="4" l="1"/>
  <c r="J38" i="4"/>
  <c r="K22" i="4"/>
  <c r="I17" i="4"/>
  <c r="J18" i="4" s="1"/>
  <c r="F20" i="4"/>
  <c r="F44" i="4" s="1"/>
  <c r="H20" i="4"/>
  <c r="H44" i="4" s="1"/>
  <c r="J15" i="4"/>
  <c r="K24" i="4"/>
  <c r="K37" i="4"/>
  <c r="I16" i="4"/>
  <c r="K32" i="4" s="1"/>
  <c r="K33" i="4" s="1"/>
  <c r="G20" i="4"/>
  <c r="G44" i="4" s="1"/>
  <c r="G45" i="4" s="1"/>
  <c r="I19" i="4"/>
  <c r="H45" i="4" l="1"/>
  <c r="L22" i="4"/>
  <c r="K23" i="4"/>
  <c r="K38" i="4" s="1"/>
  <c r="L37" i="4"/>
  <c r="L24" i="4"/>
  <c r="J16" i="4"/>
  <c r="L32" i="4" s="1"/>
  <c r="L33" i="4" s="1"/>
  <c r="K15" i="4"/>
  <c r="L15" i="4" s="1"/>
  <c r="N24" i="4" s="1"/>
  <c r="I20" i="4"/>
  <c r="I44" i="4" s="1"/>
  <c r="I45" i="4" s="1"/>
  <c r="J17" i="4"/>
  <c r="K18" i="4" s="1"/>
  <c r="J19" i="4"/>
  <c r="K40" i="4" l="1"/>
  <c r="L23" i="4"/>
  <c r="L38" i="4" s="1"/>
  <c r="M22" i="4"/>
  <c r="M37" i="4"/>
  <c r="M24" i="4"/>
  <c r="K16" i="4"/>
  <c r="M32" i="4" s="1"/>
  <c r="M33" i="4" s="1"/>
  <c r="J20" i="4"/>
  <c r="J44" i="4" s="1"/>
  <c r="J45" i="4" s="1"/>
  <c r="L40" i="4" l="1"/>
  <c r="K17" i="4"/>
  <c r="L18" i="4" s="1"/>
  <c r="K19" i="4"/>
  <c r="N22" i="4"/>
  <c r="M23" i="4"/>
  <c r="M38" i="4" s="1"/>
  <c r="N37" i="4"/>
  <c r="L16" i="4"/>
  <c r="N32" i="4" s="1"/>
  <c r="N33" i="4" s="1"/>
  <c r="M15" i="4"/>
  <c r="O24" i="4" s="1"/>
  <c r="M40" i="4" l="1"/>
  <c r="K14" i="4" s="1"/>
  <c r="L19" i="4"/>
  <c r="L17" i="4"/>
  <c r="M18" i="4" s="1"/>
  <c r="K20" i="4"/>
  <c r="K44" i="4" s="1"/>
  <c r="K45" i="4" s="1"/>
  <c r="O22" i="4"/>
  <c r="N23" i="4"/>
  <c r="N38" i="4" s="1"/>
  <c r="O37" i="4"/>
  <c r="N15" i="4"/>
  <c r="P24" i="4" s="1"/>
  <c r="M16" i="4"/>
  <c r="O32" i="4" s="1"/>
  <c r="O33" i="4" s="1"/>
  <c r="N40" i="4" l="1"/>
  <c r="M17" i="4"/>
  <c r="N18" i="4" s="1"/>
  <c r="M19" i="4"/>
  <c r="M20" i="4" s="1"/>
  <c r="M44" i="4" s="1"/>
  <c r="L20" i="4"/>
  <c r="L44" i="4" s="1"/>
  <c r="L45" i="4" s="1"/>
  <c r="L14" i="4"/>
  <c r="N19" i="4" s="1"/>
  <c r="O23" i="4"/>
  <c r="O38" i="4" s="1"/>
  <c r="P22" i="4"/>
  <c r="P37" i="4"/>
  <c r="O15" i="4"/>
  <c r="N16" i="4"/>
  <c r="O40" i="4" l="1"/>
  <c r="M45" i="4"/>
  <c r="P26" i="4"/>
  <c r="P32" i="4"/>
  <c r="P33" i="4" s="1"/>
  <c r="M14" i="4"/>
  <c r="O17" i="4" s="1"/>
  <c r="P18" i="4" s="1"/>
  <c r="P23" i="4"/>
  <c r="P40" i="4" s="1"/>
  <c r="Q24" i="4"/>
  <c r="N17" i="4"/>
  <c r="O18" i="4" s="1"/>
  <c r="Q22" i="4"/>
  <c r="Q37" i="4"/>
  <c r="P15" i="4"/>
  <c r="O16" i="4"/>
  <c r="P38" i="4" l="1"/>
  <c r="N14" i="4" s="1"/>
  <c r="P17" i="4" s="1"/>
  <c r="Q18" i="4" s="1"/>
  <c r="Q26" i="4"/>
  <c r="Q32" i="4"/>
  <c r="Q33" i="4" s="1"/>
  <c r="R22" i="4"/>
  <c r="Q23" i="4"/>
  <c r="Q40" i="4" s="1"/>
  <c r="R24" i="4"/>
  <c r="O19" i="4"/>
  <c r="O20" i="4" s="1"/>
  <c r="N20" i="4"/>
  <c r="N44" i="4" s="1"/>
  <c r="N45" i="4" s="1"/>
  <c r="R37" i="4"/>
  <c r="Q15" i="4"/>
  <c r="P16" i="4"/>
  <c r="Q38" i="4" l="1"/>
  <c r="O14" i="4" s="1"/>
  <c r="Q19" i="4" s="1"/>
  <c r="R26" i="4"/>
  <c r="R32" i="4"/>
  <c r="R33" i="4" s="1"/>
  <c r="R23" i="4"/>
  <c r="R40" i="4" s="1"/>
  <c r="S24" i="4"/>
  <c r="O44" i="4"/>
  <c r="O45" i="4" s="1"/>
  <c r="P19" i="4"/>
  <c r="P20" i="4" s="1"/>
  <c r="P44" i="4" s="1"/>
  <c r="P45" i="4" s="1"/>
  <c r="S37" i="4"/>
  <c r="S22" i="4"/>
  <c r="R15" i="4"/>
  <c r="Q16" i="4"/>
  <c r="R38" i="4" l="1"/>
  <c r="P14" i="4"/>
  <c r="R17" i="4" s="1"/>
  <c r="S18" i="4" s="1"/>
  <c r="Q17" i="4"/>
  <c r="R18" i="4" s="1"/>
  <c r="S26" i="4"/>
  <c r="S32" i="4"/>
  <c r="S33" i="4" s="1"/>
  <c r="S23" i="4"/>
  <c r="S40" i="4" s="1"/>
  <c r="T24" i="4"/>
  <c r="S15" i="4"/>
  <c r="S16" i="4" s="1"/>
  <c r="T37" i="4"/>
  <c r="T22" i="4"/>
  <c r="R16" i="4"/>
  <c r="R19" i="4" l="1"/>
  <c r="S38" i="4"/>
  <c r="Q20" i="4"/>
  <c r="Q44" i="4" s="1"/>
  <c r="Q45" i="4" s="1"/>
  <c r="U26" i="4"/>
  <c r="U32" i="4"/>
  <c r="U33" i="4" s="1"/>
  <c r="T26" i="4"/>
  <c r="T32" i="4"/>
  <c r="T33" i="4" s="1"/>
  <c r="T23" i="4"/>
  <c r="T40" i="4" s="1"/>
  <c r="U24" i="4"/>
  <c r="Q14" i="4"/>
  <c r="T15" i="4"/>
  <c r="U22" i="4"/>
  <c r="U37" i="4"/>
  <c r="R20" i="4"/>
  <c r="R44" i="4" s="1"/>
  <c r="R45" i="4" s="1"/>
  <c r="T38" i="4" l="1"/>
  <c r="U23" i="4"/>
  <c r="U38" i="4" s="1"/>
  <c r="V37" i="4"/>
  <c r="V22" i="4"/>
  <c r="V24" i="4"/>
  <c r="S17" i="4"/>
  <c r="T18" i="4" s="1"/>
  <c r="S19" i="4"/>
  <c r="S20" i="4" s="1"/>
  <c r="S44" i="4" s="1"/>
  <c r="S45" i="4" s="1"/>
  <c r="R14" i="4"/>
  <c r="T16" i="4"/>
  <c r="U15" i="4"/>
  <c r="U40" i="4" l="1"/>
  <c r="V40" i="4"/>
  <c r="V32" i="4"/>
  <c r="V33" i="4" s="1"/>
  <c r="V38" i="4" s="1"/>
  <c r="W24" i="4"/>
  <c r="W22" i="4"/>
  <c r="W37" i="4"/>
  <c r="T17" i="4"/>
  <c r="U18" i="4" s="1"/>
  <c r="T19" i="4"/>
  <c r="S14" i="4"/>
  <c r="U16" i="4"/>
  <c r="V15" i="4"/>
  <c r="T20" i="4" l="1"/>
  <c r="T44" i="4" s="1"/>
  <c r="T45" i="4" s="1"/>
  <c r="W40" i="4"/>
  <c r="W32" i="4"/>
  <c r="W33" i="4" s="1"/>
  <c r="T14" i="4"/>
  <c r="X37" i="4"/>
  <c r="X24" i="4"/>
  <c r="X22" i="4"/>
  <c r="U19" i="4"/>
  <c r="U17" i="4"/>
  <c r="V18" i="4" s="1"/>
  <c r="V16" i="4"/>
  <c r="W15" i="4"/>
  <c r="V17" i="4" l="1"/>
  <c r="W18" i="4" s="1"/>
  <c r="V19" i="4"/>
  <c r="X40" i="4"/>
  <c r="X32" i="4"/>
  <c r="X33" i="4" s="1"/>
  <c r="W38" i="4"/>
  <c r="U14" i="4" s="1"/>
  <c r="U20" i="4"/>
  <c r="U44" i="4" s="1"/>
  <c r="U45" i="4" s="1"/>
  <c r="Y37" i="4"/>
  <c r="Y24" i="4"/>
  <c r="Y22" i="4"/>
  <c r="X15" i="4"/>
  <c r="W16" i="4"/>
  <c r="V20" i="4" l="1"/>
  <c r="V44" i="4" s="1"/>
  <c r="V45" i="4" s="1"/>
  <c r="X38" i="4"/>
  <c r="Y40" i="4"/>
  <c r="Y32" i="4"/>
  <c r="Y33" i="4" s="1"/>
  <c r="Z22" i="4"/>
  <c r="Z37" i="4"/>
  <c r="Z24" i="4"/>
  <c r="V14" i="4"/>
  <c r="W17" i="4"/>
  <c r="X18" i="4" s="1"/>
  <c r="W19" i="4"/>
  <c r="X16" i="4"/>
  <c r="Y15" i="4"/>
  <c r="Y38" i="4" l="1"/>
  <c r="Z40" i="4"/>
  <c r="Z32" i="4"/>
  <c r="Z33" i="4" s="1"/>
  <c r="X17" i="4"/>
  <c r="Y18" i="4" s="1"/>
  <c r="X19" i="4"/>
  <c r="AA22" i="4"/>
  <c r="AA37" i="4"/>
  <c r="AA24" i="4"/>
  <c r="W14" i="4"/>
  <c r="W20" i="4"/>
  <c r="W44" i="4" s="1"/>
  <c r="W45" i="4" s="1"/>
  <c r="Y16" i="4"/>
  <c r="Z15" i="4"/>
  <c r="AA40" i="4" l="1"/>
  <c r="AA32" i="4"/>
  <c r="AA33" i="4" s="1"/>
  <c r="AA38" i="4" s="1"/>
  <c r="Z38" i="4"/>
  <c r="X20" i="4"/>
  <c r="X44" i="4" s="1"/>
  <c r="X45" i="4" s="1"/>
  <c r="AB22" i="4"/>
  <c r="AB37" i="4"/>
  <c r="AB24" i="4"/>
  <c r="Y19" i="4"/>
  <c r="Y17" i="4"/>
  <c r="Z18" i="4" s="1"/>
  <c r="X14" i="4"/>
  <c r="Z17" i="4" s="1"/>
  <c r="AA18" i="4" s="1"/>
  <c r="AA15" i="4"/>
  <c r="Z16" i="4"/>
  <c r="Y20" i="4" l="1"/>
  <c r="Y44" i="4" s="1"/>
  <c r="Y45" i="4" s="1"/>
  <c r="Z19" i="4"/>
  <c r="Z20" i="4" s="1"/>
  <c r="Z44" i="4" s="1"/>
  <c r="AB40" i="4"/>
  <c r="AB32" i="4"/>
  <c r="AB33" i="4" s="1"/>
  <c r="AC22" i="4"/>
  <c r="AC24" i="4"/>
  <c r="AC37" i="4"/>
  <c r="Y14" i="4"/>
  <c r="AA19" i="4" s="1"/>
  <c r="AA16" i="4"/>
  <c r="AB15" i="4"/>
  <c r="AB38" i="4" l="1"/>
  <c r="Z14" i="4" s="1"/>
  <c r="Z45" i="4"/>
  <c r="AC40" i="4"/>
  <c r="AC32" i="4"/>
  <c r="AC33" i="4" s="1"/>
  <c r="AA17" i="4"/>
  <c r="AB18" i="4" s="1"/>
  <c r="AD37" i="4"/>
  <c r="AD24" i="4"/>
  <c r="AD22" i="4"/>
  <c r="AC15" i="4"/>
  <c r="AB16" i="4"/>
  <c r="AA20" i="4" l="1"/>
  <c r="AA44" i="4" s="1"/>
  <c r="AA45" i="4" s="1"/>
  <c r="AB19" i="4"/>
  <c r="AB17" i="4"/>
  <c r="AC18" i="4" s="1"/>
  <c r="AC38" i="4"/>
  <c r="AD40" i="4"/>
  <c r="AD32" i="4"/>
  <c r="AD33" i="4" s="1"/>
  <c r="AE37" i="4"/>
  <c r="AE24" i="4"/>
  <c r="AE22" i="4"/>
  <c r="AA14" i="4"/>
  <c r="AC17" i="4" s="1"/>
  <c r="AD18" i="4" s="1"/>
  <c r="AB20" i="4"/>
  <c r="AB44" i="4" s="1"/>
  <c r="AB45" i="4" s="1"/>
  <c r="AC16" i="4"/>
  <c r="AD15" i="4"/>
  <c r="AC19" i="4" l="1"/>
  <c r="AE40" i="4"/>
  <c r="AE32" i="4"/>
  <c r="AE33" i="4" s="1"/>
  <c r="AD38" i="4"/>
  <c r="AB14" i="4" s="1"/>
  <c r="AE15" i="4"/>
  <c r="AE16" i="4" s="1"/>
  <c r="AD16" i="4"/>
  <c r="AC20" i="4"/>
  <c r="AC44" i="4" s="1"/>
  <c r="AC45" i="4" s="1"/>
  <c r="AE38" i="4" l="1"/>
  <c r="AC14" i="4" s="1"/>
  <c r="AD17" i="4"/>
  <c r="AE18" i="4" s="1"/>
  <c r="AD19" i="4"/>
  <c r="AE19" i="4" l="1"/>
  <c r="AD14" i="4"/>
  <c r="AE14" i="4" s="1"/>
  <c r="AE17" i="4"/>
  <c r="AE20" i="4" s="1"/>
  <c r="AE44" i="4" s="1"/>
  <c r="AD20" i="4"/>
  <c r="AD44" i="4" s="1"/>
  <c r="AD45" i="4" s="1"/>
  <c r="AE45" i="4" l="1"/>
</calcChain>
</file>

<file path=xl/sharedStrings.xml><?xml version="1.0" encoding="utf-8"?>
<sst xmlns="http://schemas.openxmlformats.org/spreadsheetml/2006/main" count="152" uniqueCount="110">
  <si>
    <t>payment per year</t>
  </si>
  <si>
    <t>payment per month</t>
  </si>
  <si>
    <t>lower</t>
  </si>
  <si>
    <t>upper</t>
  </si>
  <si>
    <t>+</t>
  </si>
  <si>
    <t>Special fees and allowances have been distributed in proportion to monthly items for illustrative purposes only. In practice, individual pharmacy income will vary according to the mix of products dispensed.</t>
  </si>
  <si>
    <t>SAF</t>
  </si>
  <si>
    <t>This guide and calculator do not cover locally agreed contracts (Local Pharmaceutical Services contracts).</t>
  </si>
  <si>
    <t>These figures are illustrative only.</t>
  </si>
  <si>
    <t>Community Pharmacy Contractual Framework: PSNC's cashflow calculator</t>
  </si>
  <si>
    <t>Pharmacy average monthly item volume:</t>
  </si>
  <si>
    <t>per month</t>
  </si>
  <si>
    <t>Dispensing / SOP Month</t>
  </si>
  <si>
    <t>AIV</t>
  </si>
  <si>
    <t>Items Dispensed</t>
  </si>
  <si>
    <t>Items Submitted for Payment</t>
  </si>
  <si>
    <t>Advance Payment</t>
  </si>
  <si>
    <t>Advance Recovered</t>
  </si>
  <si>
    <t>Total  value of account</t>
  </si>
  <si>
    <t>Total payment</t>
  </si>
  <si>
    <t>Special fees &amp; allowances</t>
  </si>
  <si>
    <t>EP</t>
  </si>
  <si>
    <t>Margin</t>
  </si>
  <si>
    <t>Payment excluding reimbursement</t>
  </si>
  <si>
    <t>AIV change</t>
  </si>
  <si>
    <t>Cash change</t>
  </si>
  <si>
    <t>Percentage change</t>
  </si>
  <si>
    <t>Margin per item:</t>
  </si>
  <si>
    <t>Review Point 2 amount</t>
  </si>
  <si>
    <t>Review Point 1 amount</t>
  </si>
  <si>
    <t>Community Pharmacy Contractual Framework: PSNC's cashflow indicator</t>
  </si>
  <si>
    <t xml:space="preserve">Estimated average buying profit is derived from the total agreed margin divided by the forecasted items, and is intended only as a guide. </t>
  </si>
  <si>
    <t>input:</t>
  </si>
  <si>
    <t>Items per month</t>
  </si>
  <si>
    <t>Total income from fees and allowances pcm</t>
  </si>
  <si>
    <t>Estimated average     buying profit</t>
  </si>
  <si>
    <t>Indicative total income pcm</t>
  </si>
  <si>
    <t>£ per item</t>
  </si>
  <si>
    <t>Establishment Payment</t>
  </si>
  <si>
    <t>Special fees and allowances</t>
  </si>
  <si>
    <t>nb. Amount if every CP qualified for full points</t>
  </si>
  <si>
    <t>2019/20 H1</t>
  </si>
  <si>
    <t>2019/20 H2</t>
  </si>
  <si>
    <t>2019/20 Fees &amp; Margin</t>
  </si>
  <si>
    <t>Total 19/20 Margin:</t>
  </si>
  <si>
    <t>19/20 forecast total items:</t>
  </si>
  <si>
    <t>19/20 forecast 2A-2F fees:</t>
  </si>
  <si>
    <t>19/20 Special fees / allowances per item:</t>
  </si>
  <si>
    <t>To give the most accurate result for your pharmacy, please replace the national AIV figures in row 15 with your own pharmacy's AIV figures, found on Page 2 of each monthly Schedule of Payments.</t>
  </si>
  <si>
    <r>
      <rPr>
        <sz val="9"/>
        <color theme="1"/>
        <rFont val="Calibri"/>
        <family val="2"/>
        <scheme val="minor"/>
      </rPr>
      <t xml:space="preserve">Indicative </t>
    </r>
    <r>
      <rPr>
        <b/>
        <sz val="9"/>
        <color theme="1"/>
        <rFont val="Calibri"/>
        <family val="2"/>
        <scheme val="minor"/>
      </rPr>
      <t>monthly</t>
    </r>
    <r>
      <rPr>
        <sz val="9"/>
        <color theme="1"/>
        <rFont val="Calibri"/>
        <family val="2"/>
        <scheme val="minor"/>
      </rPr>
      <t xml:space="preserve"> income for national contract Essential Services by item band</t>
    </r>
    <r>
      <rPr>
        <b/>
        <sz val="9"/>
        <color theme="1"/>
        <rFont val="Calibri"/>
        <family val="2"/>
        <scheme val="minor"/>
      </rPr>
      <t xml:space="preserve"> </t>
    </r>
    <r>
      <rPr>
        <sz val="9"/>
        <color theme="1"/>
        <rFont val="Calibri"/>
        <family val="2"/>
        <scheme val="minor"/>
      </rPr>
      <t>from dispensing month</t>
    </r>
    <r>
      <rPr>
        <b/>
        <sz val="9"/>
        <color theme="1"/>
        <rFont val="Calibri"/>
        <family val="2"/>
        <scheme val="minor"/>
      </rPr>
      <t xml:space="preserve"> Apr-19</t>
    </r>
  </si>
  <si>
    <r>
      <rPr>
        <sz val="9"/>
        <color theme="1"/>
        <rFont val="Calibri"/>
        <family val="2"/>
        <scheme val="minor"/>
      </rPr>
      <t xml:space="preserve">Indicative </t>
    </r>
    <r>
      <rPr>
        <b/>
        <sz val="9"/>
        <color theme="1"/>
        <rFont val="Calibri"/>
        <family val="2"/>
        <scheme val="minor"/>
      </rPr>
      <t xml:space="preserve">monthly </t>
    </r>
    <r>
      <rPr>
        <sz val="9"/>
        <color theme="1"/>
        <rFont val="Calibri"/>
        <family val="2"/>
        <scheme val="minor"/>
      </rPr>
      <t>income from fees and allowances for Essential Services by item band</t>
    </r>
    <r>
      <rPr>
        <b/>
        <sz val="9"/>
        <color theme="1"/>
        <rFont val="Calibri"/>
        <family val="2"/>
        <scheme val="minor"/>
      </rPr>
      <t xml:space="preserve"> </t>
    </r>
    <r>
      <rPr>
        <sz val="9"/>
        <color theme="1"/>
        <rFont val="Calibri"/>
        <family val="2"/>
        <scheme val="minor"/>
      </rPr>
      <t>from dispensing month</t>
    </r>
    <r>
      <rPr>
        <b/>
        <sz val="9"/>
        <color theme="1"/>
        <rFont val="Calibri"/>
        <family val="2"/>
        <scheme val="minor"/>
      </rPr>
      <t xml:space="preserve"> Apr-19</t>
    </r>
  </si>
  <si>
    <t>Payment received End of Month:</t>
  </si>
  <si>
    <t>QP 2019/20</t>
  </si>
  <si>
    <t>Aspiration payment</t>
  </si>
  <si>
    <t>Balance payment</t>
  </si>
  <si>
    <t>EP table (19/20 H2 - half of H1)</t>
  </si>
  <si>
    <t>EP table (19/20 H1 - same as 18/19)</t>
  </si>
  <si>
    <t>2020/21 H1</t>
  </si>
  <si>
    <t>2020/21 H2</t>
  </si>
  <si>
    <t>2020/21 Fees &amp; Margin</t>
  </si>
  <si>
    <t>Total 20/21 Margin:</t>
  </si>
  <si>
    <t>20/21 forecast total items:</t>
  </si>
  <si>
    <t>20/21 forecast 2A-2F fees:</t>
  </si>
  <si>
    <t>20/21 Special fees / allowances per item:</t>
  </si>
  <si>
    <t>Apr-20 to Mar-21 SAF</t>
  </si>
  <si>
    <t>Transition payment (Oct 19 to Mar 20)</t>
  </si>
  <si>
    <t>Items per moth</t>
  </si>
  <si>
    <t>Payment</t>
  </si>
  <si>
    <t>Transition payment</t>
  </si>
  <si>
    <t>QP 2020/21</t>
  </si>
  <si>
    <t>MUR payment</t>
  </si>
  <si>
    <t>NMS payment</t>
  </si>
  <si>
    <t>CPCS payment</t>
  </si>
  <si>
    <t>MURs conducted/expected</t>
  </si>
  <si>
    <t>NMS conducted/expected</t>
  </si>
  <si>
    <t>CPCS conducted/expected</t>
  </si>
  <si>
    <t>NMS Bands</t>
  </si>
  <si>
    <t>&lt;20%</t>
  </si>
  <si>
    <t>&gt;20%</t>
  </si>
  <si>
    <t>&gt;40%</t>
  </si>
  <si>
    <t>&gt;60%</t>
  </si>
  <si>
    <t>&gt;80%</t>
  </si>
  <si>
    <t>NMS band</t>
  </si>
  <si>
    <t>Apr-19 to Jul-19 SAF</t>
  </si>
  <si>
    <t>Aug-19 to Mar 20 SAF</t>
  </si>
  <si>
    <t>This section contains a cashflow indicator, intended to demonstrate how cashflow could be affected for an average pharmacy in £ (sterling) for services provided under the Community Pharmacy Contractual Framework. The figures shown here are illustrative only.</t>
  </si>
  <si>
    <t>Fill in your number of conducted or expected Advanced Services in rows 28 to 30</t>
  </si>
  <si>
    <t>Apr-19 to Sep-19</t>
  </si>
  <si>
    <t>Oct-19 to Mar-20</t>
  </si>
  <si>
    <t>Transitional payment</t>
  </si>
  <si>
    <t>Apr-20 to Mar 21</t>
  </si>
  <si>
    <r>
      <rPr>
        <sz val="9"/>
        <color theme="1"/>
        <rFont val="Calibri"/>
        <family val="2"/>
        <scheme val="minor"/>
      </rPr>
      <t xml:space="preserve">Indicative </t>
    </r>
    <r>
      <rPr>
        <b/>
        <sz val="9"/>
        <color theme="1"/>
        <rFont val="Calibri"/>
        <family val="2"/>
        <scheme val="minor"/>
      </rPr>
      <t>monthly</t>
    </r>
    <r>
      <rPr>
        <sz val="9"/>
        <color theme="1"/>
        <rFont val="Calibri"/>
        <family val="2"/>
        <scheme val="minor"/>
      </rPr>
      <t xml:space="preserve"> income for national contract Essential Services by item band</t>
    </r>
    <r>
      <rPr>
        <b/>
        <sz val="9"/>
        <color theme="1"/>
        <rFont val="Calibri"/>
        <family val="2"/>
        <scheme val="minor"/>
      </rPr>
      <t xml:space="preserve"> </t>
    </r>
    <r>
      <rPr>
        <sz val="9"/>
        <color theme="1"/>
        <rFont val="Calibri"/>
        <family val="2"/>
        <scheme val="minor"/>
      </rPr>
      <t>from dispensing month</t>
    </r>
    <r>
      <rPr>
        <b/>
        <sz val="9"/>
        <color theme="1"/>
        <rFont val="Calibri"/>
        <family val="2"/>
        <scheme val="minor"/>
      </rPr>
      <t xml:space="preserve"> Oct-19</t>
    </r>
  </si>
  <si>
    <r>
      <rPr>
        <sz val="9"/>
        <color theme="1"/>
        <rFont val="Calibri"/>
        <family val="2"/>
        <scheme val="minor"/>
      </rPr>
      <t xml:space="preserve">Indicative </t>
    </r>
    <r>
      <rPr>
        <b/>
        <sz val="9"/>
        <color theme="1"/>
        <rFont val="Calibri"/>
        <family val="2"/>
        <scheme val="minor"/>
      </rPr>
      <t>monthly</t>
    </r>
    <r>
      <rPr>
        <sz val="9"/>
        <color theme="1"/>
        <rFont val="Calibri"/>
        <family val="2"/>
        <scheme val="minor"/>
      </rPr>
      <t xml:space="preserve"> income for national contract Essential Services by item band</t>
    </r>
    <r>
      <rPr>
        <b/>
        <sz val="9"/>
        <color theme="1"/>
        <rFont val="Calibri"/>
        <family val="2"/>
        <scheme val="minor"/>
      </rPr>
      <t xml:space="preserve"> </t>
    </r>
    <r>
      <rPr>
        <sz val="9"/>
        <color theme="1"/>
        <rFont val="Calibri"/>
        <family val="2"/>
        <scheme val="minor"/>
      </rPr>
      <t>from dispensing month</t>
    </r>
    <r>
      <rPr>
        <b/>
        <sz val="9"/>
        <color theme="1"/>
        <rFont val="Calibri"/>
        <family val="2"/>
        <scheme val="minor"/>
      </rPr>
      <t xml:space="preserve"> Apr-20</t>
    </r>
  </si>
  <si>
    <r>
      <rPr>
        <sz val="9"/>
        <color theme="1"/>
        <rFont val="Calibri"/>
        <family val="2"/>
        <scheme val="minor"/>
      </rPr>
      <t xml:space="preserve">Indicative </t>
    </r>
    <r>
      <rPr>
        <b/>
        <sz val="9"/>
        <color theme="1"/>
        <rFont val="Calibri"/>
        <family val="2"/>
        <scheme val="minor"/>
      </rPr>
      <t xml:space="preserve">monthly </t>
    </r>
    <r>
      <rPr>
        <sz val="9"/>
        <color theme="1"/>
        <rFont val="Calibri"/>
        <family val="2"/>
        <scheme val="minor"/>
      </rPr>
      <t>income from fees and allowances for Essential Services by item band</t>
    </r>
    <r>
      <rPr>
        <b/>
        <sz val="9"/>
        <color theme="1"/>
        <rFont val="Calibri"/>
        <family val="2"/>
        <scheme val="minor"/>
      </rPr>
      <t xml:space="preserve"> </t>
    </r>
    <r>
      <rPr>
        <sz val="9"/>
        <color theme="1"/>
        <rFont val="Calibri"/>
        <family val="2"/>
        <scheme val="minor"/>
      </rPr>
      <t>from dispensing month</t>
    </r>
    <r>
      <rPr>
        <b/>
        <sz val="9"/>
        <color theme="1"/>
        <rFont val="Calibri"/>
        <family val="2"/>
        <scheme val="minor"/>
      </rPr>
      <t xml:space="preserve"> Oct-19</t>
    </r>
  </si>
  <si>
    <r>
      <rPr>
        <sz val="9"/>
        <color theme="1"/>
        <rFont val="Calibri"/>
        <family val="2"/>
        <scheme val="minor"/>
      </rPr>
      <t xml:space="preserve">Indicative </t>
    </r>
    <r>
      <rPr>
        <b/>
        <sz val="9"/>
        <color theme="1"/>
        <rFont val="Calibri"/>
        <family val="2"/>
        <scheme val="minor"/>
      </rPr>
      <t xml:space="preserve">monthly </t>
    </r>
    <r>
      <rPr>
        <sz val="9"/>
        <color theme="1"/>
        <rFont val="Calibri"/>
        <family val="2"/>
        <scheme val="minor"/>
      </rPr>
      <t>income from fees and allowances for Essential Services by item band</t>
    </r>
    <r>
      <rPr>
        <b/>
        <sz val="9"/>
        <color theme="1"/>
        <rFont val="Calibri"/>
        <family val="2"/>
        <scheme val="minor"/>
      </rPr>
      <t xml:space="preserve"> </t>
    </r>
    <r>
      <rPr>
        <sz val="9"/>
        <color theme="1"/>
        <rFont val="Calibri"/>
        <family val="2"/>
        <scheme val="minor"/>
      </rPr>
      <t>from dispensing month</t>
    </r>
    <r>
      <rPr>
        <b/>
        <sz val="9"/>
        <color theme="1"/>
        <rFont val="Calibri"/>
        <family val="2"/>
        <scheme val="minor"/>
      </rPr>
      <t xml:space="preserve"> Apr-20</t>
    </r>
  </si>
  <si>
    <t>PQS</t>
  </si>
  <si>
    <t>Details of Pharmacy Quality Scheme payments in 2020/21 are not yet finalised. For modelling purposed we have assumed 2 equal claim 
points, in June 2020 and December 2020.</t>
  </si>
  <si>
    <t>Cashflow model does not include potential extra £900 or £600 which may be claimed by contractors as part of the CPCS if signup is completed 
before 1st December 2019 or 15th January 2020 respectively.</t>
  </si>
  <si>
    <t>Cashflow model does not include any potential fee payments for Serious Shortage Protocols (SSPs). If implemented, SSPs will 
be paid at a rate of £5.35 each.</t>
  </si>
  <si>
    <t>IMPORTANT CAVEATS:</t>
  </si>
  <si>
    <t>Instructions for use</t>
  </si>
  <si>
    <t>Transition payment (Apr 20 to Mar 21)</t>
  </si>
  <si>
    <t xml:space="preserve">The Pharmacy Access Scheme (PhAS) payments are not factored into this calcuator. Information on PhAS and a list of eligible pharmacies is available at psnc.org.uk/phas </t>
  </si>
  <si>
    <t>Last updated October 2019</t>
  </si>
  <si>
    <t>To customise the calculator for your specific pharmacy you can:</t>
  </si>
  <si>
    <r>
      <t xml:space="preserve">1) Enter your own pharmacy's average monthly item volumes into </t>
    </r>
    <r>
      <rPr>
        <b/>
        <sz val="11"/>
        <color rgb="FFFF0000"/>
        <rFont val="Calibri"/>
        <family val="2"/>
        <scheme val="minor"/>
      </rPr>
      <t>cell J9</t>
    </r>
    <r>
      <rPr>
        <sz val="11"/>
        <color theme="1"/>
        <rFont val="Calibri"/>
        <family val="2"/>
        <scheme val="minor"/>
      </rPr>
      <t xml:space="preserve"> on the cashflow tab</t>
    </r>
  </si>
  <si>
    <t>Transitional Payment values for 2020/21 have not yet been agreed. For modelling purposes, the value of the Transitional Payment is assumed to double in 2020/21, due to the increase of the 'unallocated' funding pot as per the 5 year CPCF document published by DHSC. However in practice, this currently unallocated funding may be used in other ways. Updates to this document will be made as necessary to reflect arrangements as and when they are known.</t>
  </si>
  <si>
    <r>
      <t xml:space="preserve">2) Enter your own pharmacy's conducted or expected numbers of Advanced Services provided in the red bordered cells in </t>
    </r>
    <r>
      <rPr>
        <b/>
        <sz val="11"/>
        <color rgb="FFFF0000"/>
        <rFont val="Calibri"/>
        <family val="2"/>
        <scheme val="minor"/>
      </rPr>
      <t>rows 28 - 30</t>
    </r>
    <r>
      <rPr>
        <sz val="11"/>
        <color theme="1"/>
        <rFont val="Calibri"/>
        <family val="2"/>
        <scheme val="minor"/>
      </rPr>
      <t xml:space="preserve"> on the cashflow tab</t>
    </r>
  </si>
  <si>
    <r>
      <t xml:space="preserve">3) Enter your own pharmacy's AIV figures into the red bordered cells in </t>
    </r>
    <r>
      <rPr>
        <b/>
        <sz val="11"/>
        <color rgb="FFFF0000"/>
        <rFont val="Calibri"/>
        <family val="2"/>
        <scheme val="minor"/>
      </rPr>
      <t>row 14</t>
    </r>
    <r>
      <rPr>
        <sz val="11"/>
        <color theme="1"/>
        <rFont val="Calibri"/>
        <family val="2"/>
        <scheme val="minor"/>
      </rPr>
      <t xml:space="preserve"> on the cashflow tab</t>
    </r>
  </si>
  <si>
    <t>The cashflow calculator is pre-populated with figures representing a pharmacy dispensing an average number of items (7,000) per month, and providing Advanced Services at an average expected level. AIV values included are based on the national average.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</si>
</sst>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quot;£&quot;#,##0"/>
    <numFmt numFmtId="165" formatCode="&quot;£&quot;#,##0.00"/>
    <numFmt numFmtId="166" formatCode="_-* #,##0_-;\-* #,##0_-;_-* &quot;-&quot;??_-;_-@_-"/>
    <numFmt numFmtId="167" formatCode="&quot;£&quot;#,##0.000"/>
    <numFmt numFmtId="168" formatCode="&quot;£&quot;#,##0.0000"/>
    <numFmt numFmtId="169" formatCode="_-* #,##0.0000_-;\-* #,##0.0000_-;_-* &quot;-&quot;??_-;_-@_-"/>
    <numFmt numFmtId="170" formatCode="_-* #,##0.0_-;\-* #,##0.0_-;_-* &quot;-&quot;??_-;_-@_-"/>
    <numFmt numFmtId="171" formatCode="0,000"/>
  </numFmts>
  <fonts count="22" x14ac:knownFonts="1">
    <font>
      <sz val="11"/>
      <color theme="1"/>
      <name val="Calibri"/>
      <family val="2"/>
      <scheme val="minor"/>
    </font>
    <font>
      <sz val="11"/>
      <color theme="1"/>
      <name val="Calibri"/>
      <family val="2"/>
      <scheme val="minor"/>
    </font>
    <font>
      <b/>
      <sz val="11"/>
      <color theme="1"/>
      <name val="Calibri"/>
      <family val="2"/>
      <scheme val="minor"/>
    </font>
    <font>
      <sz val="10.5"/>
      <color theme="1"/>
      <name val="Symbol"/>
      <family val="1"/>
      <charset val="2"/>
    </font>
    <font>
      <sz val="11"/>
      <name val="Calibri"/>
      <family val="2"/>
      <scheme val="minor"/>
    </font>
    <font>
      <u/>
      <sz val="11"/>
      <color theme="10"/>
      <name val="Calibri"/>
      <family val="2"/>
      <scheme val="minor"/>
    </font>
    <font>
      <sz val="11"/>
      <color theme="0" tint="-0.34998626667073579"/>
      <name val="Calibri"/>
      <family val="2"/>
      <scheme val="minor"/>
    </font>
    <font>
      <b/>
      <sz val="16"/>
      <color theme="1"/>
      <name val="Calibri"/>
      <family val="2"/>
      <scheme val="minor"/>
    </font>
    <font>
      <sz val="10.5"/>
      <color theme="1"/>
      <name val="Calibri"/>
      <family val="2"/>
      <scheme val="minor"/>
    </font>
    <font>
      <b/>
      <sz val="10.5"/>
      <color rgb="FFFF1D1D"/>
      <name val="Calibri"/>
      <family val="2"/>
      <scheme val="minor"/>
    </font>
    <font>
      <sz val="11"/>
      <color rgb="FFFF0000"/>
      <name val="Calibri"/>
      <family val="2"/>
      <scheme val="minor"/>
    </font>
    <font>
      <i/>
      <sz val="11"/>
      <color theme="1"/>
      <name val="Calibri"/>
      <family val="2"/>
      <scheme val="minor"/>
    </font>
    <font>
      <sz val="13"/>
      <color rgb="FF2E74B5"/>
      <name val="Calibri Light"/>
      <family val="2"/>
    </font>
    <font>
      <sz val="11"/>
      <color theme="1"/>
      <name val="Symbol"/>
      <family val="1"/>
      <charset val="2"/>
    </font>
    <font>
      <sz val="11"/>
      <name val="Symbol"/>
      <family val="1"/>
      <charset val="2"/>
    </font>
    <font>
      <sz val="11"/>
      <color rgb="FFC00000"/>
      <name val="Calibri"/>
      <family val="2"/>
      <scheme val="minor"/>
    </font>
    <font>
      <sz val="9"/>
      <color theme="5"/>
      <name val="Calibri"/>
      <family val="2"/>
      <scheme val="minor"/>
    </font>
    <font>
      <b/>
      <sz val="18"/>
      <color theme="1"/>
      <name val="Calibri"/>
      <family val="2"/>
      <scheme val="minor"/>
    </font>
    <font>
      <b/>
      <sz val="9"/>
      <color theme="1"/>
      <name val="Calibri"/>
      <family val="2"/>
      <scheme val="minor"/>
    </font>
    <font>
      <sz val="10"/>
      <color theme="1"/>
      <name val="Calibri"/>
      <family val="2"/>
      <scheme val="minor"/>
    </font>
    <font>
      <sz val="9"/>
      <color theme="1"/>
      <name val="Calibri"/>
      <family val="2"/>
      <scheme val="minor"/>
    </font>
    <font>
      <b/>
      <sz val="11"/>
      <color rgb="FFFF0000"/>
      <name val="Calibri"/>
      <family val="2"/>
      <scheme val="minor"/>
    </font>
  </fonts>
  <fills count="1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rgb="FFFFCCFF"/>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rgb="FFCBA9E5"/>
        <bgColor indexed="64"/>
      </patternFill>
    </fill>
    <fill>
      <patternFill patternType="solid">
        <fgColor rgb="FFE2CFF1"/>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8" tint="0.39997558519241921"/>
        <bgColor indexed="64"/>
      </patternFill>
    </fill>
  </fills>
  <borders count="13">
    <border>
      <left/>
      <right/>
      <top/>
      <bottom/>
      <diagonal/>
    </border>
    <border>
      <left style="medium">
        <color indexed="64"/>
      </left>
      <right style="medium">
        <color indexed="64"/>
      </right>
      <top style="medium">
        <color indexed="64"/>
      </top>
      <bottom style="medium">
        <color indexed="64"/>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bottom style="medium">
        <color indexed="64"/>
      </bottom>
      <diagonal/>
    </border>
    <border>
      <left style="thick">
        <color theme="0"/>
      </left>
      <right style="thick">
        <color theme="0"/>
      </right>
      <top style="thick">
        <color theme="0"/>
      </top>
      <bottom style="thick">
        <color theme="0"/>
      </bottom>
      <diagonal/>
    </border>
    <border>
      <left/>
      <right/>
      <top style="medium">
        <color theme="4" tint="0.59996337778862885"/>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Dashed">
        <color rgb="FFFF1D1D"/>
      </left>
      <right style="mediumDashed">
        <color rgb="FFFF1D1D"/>
      </right>
      <top style="mediumDashed">
        <color rgb="FFFF1D1D"/>
      </top>
      <bottom style="mediumDashed">
        <color rgb="FFFF1D1D"/>
      </bottom>
      <diagonal/>
    </border>
    <border>
      <left style="thick">
        <color theme="0"/>
      </left>
      <right style="thick">
        <color theme="0"/>
      </right>
      <top/>
      <bottom style="thick">
        <color theme="0"/>
      </bottom>
      <diagonal/>
    </border>
    <border>
      <left/>
      <right/>
      <top/>
      <bottom style="thick">
        <color theme="0"/>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5"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177">
    <xf numFmtId="0" fontId="0" fillId="0" borderId="0" xfId="0"/>
    <xf numFmtId="0" fontId="0" fillId="2" borderId="0" xfId="0" applyFill="1"/>
    <xf numFmtId="0" fontId="0" fillId="2" borderId="0" xfId="0" applyFill="1" applyBorder="1"/>
    <xf numFmtId="0" fontId="0" fillId="4" borderId="0" xfId="0" applyFill="1"/>
    <xf numFmtId="0" fontId="0" fillId="2" borderId="0" xfId="0" applyFill="1" applyAlignment="1">
      <alignment vertical="center"/>
    </xf>
    <xf numFmtId="0" fontId="3" fillId="4" borderId="0" xfId="0" applyFont="1" applyFill="1" applyAlignment="1">
      <alignment horizontal="left" vertical="center" indent="5"/>
    </xf>
    <xf numFmtId="0" fontId="0" fillId="2" borderId="0" xfId="0" applyFill="1"/>
    <xf numFmtId="0" fontId="0" fillId="4" borderId="0" xfId="0" applyFill="1" applyAlignment="1">
      <alignment wrapText="1"/>
    </xf>
    <xf numFmtId="0" fontId="3" fillId="2" borderId="0" xfId="0" applyFont="1" applyFill="1" applyAlignment="1">
      <alignment horizontal="left" vertical="center" indent="5"/>
    </xf>
    <xf numFmtId="0" fontId="0" fillId="4" borderId="0" xfId="0" applyFill="1" applyAlignment="1">
      <alignment vertical="center" wrapText="1"/>
    </xf>
    <xf numFmtId="0" fontId="5" fillId="4" borderId="0" xfId="4" applyFill="1" applyAlignment="1">
      <alignment vertical="center"/>
    </xf>
    <xf numFmtId="0" fontId="0" fillId="2" borderId="0" xfId="0" applyFill="1" applyAlignment="1">
      <alignment horizontal="left" wrapText="1"/>
    </xf>
    <xf numFmtId="0" fontId="0" fillId="4" borderId="0" xfId="0" applyFill="1" applyAlignment="1">
      <alignment vertical="center"/>
    </xf>
    <xf numFmtId="0" fontId="0" fillId="2" borderId="0" xfId="0" applyFill="1" applyAlignment="1">
      <alignment horizontal="right"/>
    </xf>
    <xf numFmtId="0" fontId="8" fillId="2" borderId="0" xfId="0" applyFont="1" applyFill="1" applyAlignment="1">
      <alignment vertical="center"/>
    </xf>
    <xf numFmtId="0" fontId="7" fillId="0" borderId="0" xfId="0" applyFont="1" applyAlignment="1">
      <alignment horizontal="left" vertical="center"/>
    </xf>
    <xf numFmtId="165" fontId="0" fillId="2" borderId="0" xfId="0" applyNumberFormat="1" applyFill="1"/>
    <xf numFmtId="43" fontId="0" fillId="2" borderId="0" xfId="0" applyNumberFormat="1" applyFill="1"/>
    <xf numFmtId="0" fontId="0" fillId="2" borderId="0" xfId="0" applyFill="1" applyBorder="1" applyAlignment="1">
      <alignment vertical="center"/>
    </xf>
    <xf numFmtId="0" fontId="0" fillId="2" borderId="0" xfId="0" applyFill="1" applyBorder="1" applyAlignment="1">
      <alignment horizontal="right" vertical="center"/>
    </xf>
    <xf numFmtId="0" fontId="9" fillId="4" borderId="0" xfId="0" applyFont="1" applyFill="1" applyAlignment="1">
      <alignment vertical="center"/>
    </xf>
    <xf numFmtId="0" fontId="0" fillId="7" borderId="0" xfId="0" applyFill="1"/>
    <xf numFmtId="17" fontId="0" fillId="2" borderId="0" xfId="0" applyNumberFormat="1" applyFill="1" applyAlignment="1">
      <alignment horizontal="right"/>
    </xf>
    <xf numFmtId="0" fontId="12" fillId="2" borderId="0" xfId="0" applyFont="1" applyFill="1" applyAlignment="1">
      <alignment vertical="center"/>
    </xf>
    <xf numFmtId="0" fontId="0" fillId="2" borderId="5" xfId="0" applyFill="1" applyBorder="1"/>
    <xf numFmtId="17" fontId="2" fillId="2" borderId="5" xfId="0" applyNumberFormat="1" applyFont="1" applyFill="1" applyBorder="1"/>
    <xf numFmtId="0" fontId="13" fillId="2" borderId="0" xfId="0" applyFont="1" applyFill="1" applyAlignment="1">
      <alignment horizontal="left" vertical="center" indent="5"/>
    </xf>
    <xf numFmtId="0" fontId="0" fillId="2" borderId="0" xfId="0" applyFill="1" applyAlignment="1">
      <alignment horizontal="right" vertical="center"/>
    </xf>
    <xf numFmtId="0" fontId="2" fillId="2" borderId="0" xfId="0" applyFont="1" applyFill="1" applyBorder="1" applyAlignment="1">
      <alignment horizontal="left"/>
    </xf>
    <xf numFmtId="166" fontId="0" fillId="6" borderId="6" xfId="1" applyNumberFormat="1" applyFont="1" applyFill="1" applyBorder="1" applyAlignment="1">
      <alignment horizontal="center" vertical="center"/>
    </xf>
    <xf numFmtId="0" fontId="4" fillId="2" borderId="0" xfId="0" applyFont="1" applyFill="1" applyAlignment="1">
      <alignment vertical="center"/>
    </xf>
    <xf numFmtId="0" fontId="10" fillId="2" borderId="0" xfId="0" applyFont="1" applyFill="1"/>
    <xf numFmtId="164" fontId="0" fillId="6" borderId="6" xfId="0" applyNumberFormat="1" applyFill="1" applyBorder="1" applyAlignment="1">
      <alignment horizontal="center" vertical="center"/>
    </xf>
    <xf numFmtId="0" fontId="14" fillId="2" borderId="0" xfId="0" applyFont="1" applyFill="1" applyAlignment="1">
      <alignment horizontal="left" vertical="center" indent="5"/>
    </xf>
    <xf numFmtId="0" fontId="10" fillId="2" borderId="0" xfId="0" applyFont="1" applyFill="1" applyAlignment="1">
      <alignment horizontal="right"/>
    </xf>
    <xf numFmtId="0" fontId="2" fillId="2" borderId="0" xfId="0" applyFont="1" applyFill="1" applyBorder="1" applyAlignment="1">
      <alignment horizontal="right" vertical="center"/>
    </xf>
    <xf numFmtId="164" fontId="2" fillId="2" borderId="6" xfId="0" applyNumberFormat="1" applyFont="1" applyFill="1" applyBorder="1" applyAlignment="1">
      <alignment horizontal="center" vertical="center"/>
    </xf>
    <xf numFmtId="0" fontId="0" fillId="2" borderId="0" xfId="0" applyFill="1" applyBorder="1" applyAlignment="1">
      <alignment horizontal="left"/>
    </xf>
    <xf numFmtId="0" fontId="6" fillId="2" borderId="0" xfId="0" applyFont="1" applyFill="1" applyBorder="1" applyAlignment="1">
      <alignment horizontal="right"/>
    </xf>
    <xf numFmtId="0" fontId="6" fillId="2" borderId="0" xfId="0" applyFont="1" applyFill="1" applyAlignment="1">
      <alignment horizontal="right" vertical="center"/>
    </xf>
    <xf numFmtId="0" fontId="6" fillId="2" borderId="0" xfId="0" applyFont="1" applyFill="1" applyAlignment="1">
      <alignment horizontal="right"/>
    </xf>
    <xf numFmtId="17" fontId="6" fillId="2" borderId="0" xfId="0" applyNumberFormat="1" applyFont="1" applyFill="1"/>
    <xf numFmtId="165" fontId="6" fillId="2" borderId="0" xfId="0" applyNumberFormat="1" applyFont="1" applyFill="1"/>
    <xf numFmtId="0" fontId="6" fillId="2" borderId="0" xfId="0" applyFont="1" applyFill="1"/>
    <xf numFmtId="166" fontId="0" fillId="2" borderId="0" xfId="0" applyNumberFormat="1" applyFill="1" applyAlignment="1">
      <alignment horizontal="right" vertical="center"/>
    </xf>
    <xf numFmtId="0" fontId="6" fillId="2" borderId="0" xfId="0" applyFont="1" applyFill="1" applyBorder="1"/>
    <xf numFmtId="164" fontId="6" fillId="2" borderId="0" xfId="0" applyNumberFormat="1" applyFont="1" applyFill="1"/>
    <xf numFmtId="165" fontId="0" fillId="6" borderId="6" xfId="0" applyNumberFormat="1" applyFill="1" applyBorder="1" applyAlignment="1">
      <alignment horizontal="center" vertical="center"/>
    </xf>
    <xf numFmtId="164" fontId="0" fillId="2" borderId="0" xfId="0" applyNumberFormat="1" applyFill="1" applyAlignment="1">
      <alignment horizontal="right"/>
    </xf>
    <xf numFmtId="9" fontId="0" fillId="2" borderId="0" xfId="2" applyFont="1" applyFill="1" applyAlignment="1">
      <alignment horizontal="right"/>
    </xf>
    <xf numFmtId="165" fontId="0" fillId="2" borderId="0" xfId="0" applyNumberFormat="1" applyFill="1" applyAlignment="1">
      <alignment horizontal="right" vertical="center"/>
    </xf>
    <xf numFmtId="0" fontId="0" fillId="2" borderId="0" xfId="0" applyFill="1" applyAlignment="1">
      <alignment horizontal="left" vertical="center"/>
    </xf>
    <xf numFmtId="169" fontId="0" fillId="2" borderId="0" xfId="0" applyNumberFormat="1" applyFill="1" applyAlignment="1">
      <alignment horizontal="right" vertical="center"/>
    </xf>
    <xf numFmtId="17" fontId="6" fillId="2" borderId="0" xfId="0" applyNumberFormat="1" applyFont="1" applyFill="1" applyBorder="1"/>
    <xf numFmtId="165" fontId="6" fillId="2" borderId="0" xfId="0" applyNumberFormat="1" applyFont="1" applyFill="1" applyBorder="1"/>
    <xf numFmtId="167" fontId="0" fillId="2" borderId="0" xfId="0" applyNumberFormat="1" applyFill="1"/>
    <xf numFmtId="0" fontId="0" fillId="11" borderId="0" xfId="0" applyFill="1" applyAlignment="1">
      <alignment horizontal="right" vertical="center"/>
    </xf>
    <xf numFmtId="0" fontId="0" fillId="11" borderId="0" xfId="0" applyFill="1"/>
    <xf numFmtId="0" fontId="0" fillId="11" borderId="0" xfId="0" applyFill="1" applyAlignment="1">
      <alignment horizontal="right"/>
    </xf>
    <xf numFmtId="165" fontId="0" fillId="10" borderId="0" xfId="0" applyNumberFormat="1" applyFill="1"/>
    <xf numFmtId="164" fontId="0" fillId="10" borderId="0" xfId="0" applyNumberFormat="1" applyFill="1"/>
    <xf numFmtId="168" fontId="0" fillId="10" borderId="0" xfId="0" applyNumberFormat="1" applyFill="1"/>
    <xf numFmtId="0" fontId="2" fillId="11" borderId="0" xfId="0" applyFont="1" applyFill="1"/>
    <xf numFmtId="166" fontId="0" fillId="2" borderId="0" xfId="1" applyNumberFormat="1" applyFont="1" applyFill="1"/>
    <xf numFmtId="17" fontId="0" fillId="2" borderId="0" xfId="0" applyNumberFormat="1" applyFill="1"/>
    <xf numFmtId="0" fontId="2" fillId="7" borderId="0" xfId="0" applyFont="1" applyFill="1"/>
    <xf numFmtId="0" fontId="0" fillId="7" borderId="0" xfId="0" applyFill="1" applyAlignment="1">
      <alignment horizontal="right"/>
    </xf>
    <xf numFmtId="0" fontId="0" fillId="6" borderId="0" xfId="0" applyFill="1"/>
    <xf numFmtId="164" fontId="0" fillId="6" borderId="0" xfId="0" applyNumberFormat="1" applyFill="1"/>
    <xf numFmtId="0" fontId="2" fillId="7" borderId="7" xfId="0" applyFont="1" applyFill="1" applyBorder="1"/>
    <xf numFmtId="0" fontId="0" fillId="7" borderId="7" xfId="0" applyFill="1" applyBorder="1"/>
    <xf numFmtId="0" fontId="0" fillId="12" borderId="0" xfId="0" applyFill="1"/>
    <xf numFmtId="0" fontId="0" fillId="12" borderId="0" xfId="0" applyFill="1" applyAlignment="1">
      <alignment horizontal="right"/>
    </xf>
    <xf numFmtId="165" fontId="0" fillId="5" borderId="0" xfId="0" applyNumberFormat="1" applyFill="1"/>
    <xf numFmtId="0" fontId="0" fillId="7" borderId="7" xfId="0" applyFill="1" applyBorder="1" applyAlignment="1">
      <alignment horizontal="right"/>
    </xf>
    <xf numFmtId="1" fontId="0" fillId="6" borderId="0" xfId="0" applyNumberFormat="1" applyFill="1" applyAlignment="1">
      <alignment horizontal="right"/>
    </xf>
    <xf numFmtId="1" fontId="0" fillId="6" borderId="0" xfId="0" applyNumberFormat="1" applyFill="1"/>
    <xf numFmtId="0" fontId="0" fillId="6" borderId="0" xfId="0" applyFill="1" applyAlignment="1">
      <alignment horizontal="right"/>
    </xf>
    <xf numFmtId="0" fontId="0" fillId="13" borderId="0" xfId="0" applyFill="1" applyAlignment="1">
      <alignment vertical="center"/>
    </xf>
    <xf numFmtId="0" fontId="0" fillId="13" borderId="0" xfId="0" applyFill="1" applyAlignment="1">
      <alignment horizontal="right" vertical="center"/>
    </xf>
    <xf numFmtId="164" fontId="0" fillId="14" borderId="0" xfId="0" applyNumberFormat="1" applyFill="1" applyAlignment="1">
      <alignment horizontal="right" vertical="center"/>
    </xf>
    <xf numFmtId="166" fontId="0" fillId="10" borderId="0" xfId="1" applyNumberFormat="1" applyFont="1" applyFill="1"/>
    <xf numFmtId="0" fontId="2" fillId="13" borderId="0" xfId="0" applyFont="1" applyFill="1" applyAlignment="1">
      <alignment vertical="center"/>
    </xf>
    <xf numFmtId="17" fontId="11" fillId="2" borderId="0" xfId="0" applyNumberFormat="1" applyFont="1" applyFill="1" applyAlignment="1">
      <alignment horizontal="right" vertical="center"/>
    </xf>
    <xf numFmtId="17" fontId="0" fillId="2" borderId="0" xfId="0" applyNumberFormat="1" applyFill="1" applyAlignment="1">
      <alignment horizontal="right" vertical="center"/>
    </xf>
    <xf numFmtId="0" fontId="16" fillId="2" borderId="0" xfId="0" applyFont="1" applyFill="1" applyAlignment="1">
      <alignment horizontal="left"/>
    </xf>
    <xf numFmtId="49" fontId="17" fillId="2" borderId="0" xfId="0" applyNumberFormat="1" applyFont="1" applyFill="1"/>
    <xf numFmtId="0" fontId="19" fillId="3" borderId="0" xfId="0" applyFont="1" applyFill="1" applyAlignment="1">
      <alignment horizontal="right" wrapText="1"/>
    </xf>
    <xf numFmtId="0" fontId="19" fillId="2" borderId="1" xfId="0" applyFont="1" applyFill="1" applyBorder="1" applyAlignment="1">
      <alignment horizontal="right" wrapText="1"/>
    </xf>
    <xf numFmtId="166" fontId="19" fillId="15" borderId="0" xfId="1" applyNumberFormat="1" applyFont="1" applyFill="1" applyAlignment="1">
      <alignment horizontal="right"/>
    </xf>
    <xf numFmtId="164" fontId="19" fillId="15" borderId="0" xfId="0" applyNumberFormat="1" applyFont="1" applyFill="1"/>
    <xf numFmtId="164" fontId="19" fillId="2" borderId="8" xfId="0" applyNumberFormat="1" applyFont="1" applyFill="1" applyBorder="1"/>
    <xf numFmtId="165" fontId="19" fillId="2" borderId="8" xfId="2" applyNumberFormat="1" applyFont="1" applyFill="1" applyBorder="1"/>
    <xf numFmtId="164" fontId="19" fillId="2" borderId="9" xfId="0" applyNumberFormat="1" applyFont="1" applyFill="1" applyBorder="1"/>
    <xf numFmtId="165" fontId="19" fillId="2" borderId="9" xfId="2" applyNumberFormat="1" applyFont="1" applyFill="1" applyBorder="1"/>
    <xf numFmtId="165" fontId="19" fillId="2" borderId="8" xfId="0" applyNumberFormat="1" applyFont="1" applyFill="1" applyBorder="1"/>
    <xf numFmtId="165" fontId="19" fillId="2" borderId="9" xfId="0" applyNumberFormat="1" applyFont="1" applyFill="1" applyBorder="1"/>
    <xf numFmtId="0" fontId="2" fillId="3" borderId="0" xfId="0" applyFont="1" applyFill="1" applyAlignment="1"/>
    <xf numFmtId="170" fontId="0" fillId="2" borderId="0" xfId="1" applyNumberFormat="1" applyFont="1" applyFill="1"/>
    <xf numFmtId="9" fontId="0" fillId="2" borderId="0" xfId="2" applyNumberFormat="1" applyFont="1" applyFill="1" applyAlignment="1">
      <alignment horizontal="right"/>
    </xf>
    <xf numFmtId="0" fontId="2" fillId="2" borderId="0" xfId="0" applyFont="1" applyFill="1" applyAlignment="1">
      <alignment horizontal="right"/>
    </xf>
    <xf numFmtId="0" fontId="2" fillId="2" borderId="5" xfId="0" applyFont="1" applyFill="1" applyBorder="1" applyAlignment="1">
      <alignment horizontal="right"/>
    </xf>
    <xf numFmtId="0" fontId="0" fillId="7" borderId="0" xfId="0" applyFill="1" applyAlignment="1">
      <alignment horizontal="right" wrapText="1"/>
    </xf>
    <xf numFmtId="166" fontId="11" fillId="10" borderId="0" xfId="1" applyNumberFormat="1" applyFont="1" applyFill="1"/>
    <xf numFmtId="164" fontId="11" fillId="10" borderId="0" xfId="0" applyNumberFormat="1" applyFont="1" applyFill="1"/>
    <xf numFmtId="0" fontId="0" fillId="14" borderId="0" xfId="0" applyFill="1"/>
    <xf numFmtId="0" fontId="0" fillId="14" borderId="0" xfId="0" applyFill="1" applyAlignment="1">
      <alignment horizontal="right" vertical="center"/>
    </xf>
    <xf numFmtId="0" fontId="0" fillId="13" borderId="0" xfId="0" applyFill="1"/>
    <xf numFmtId="17" fontId="6" fillId="13" borderId="0" xfId="0" applyNumberFormat="1" applyFont="1" applyFill="1"/>
    <xf numFmtId="165" fontId="6" fillId="13" borderId="0" xfId="0" applyNumberFormat="1" applyFont="1" applyFill="1"/>
    <xf numFmtId="0" fontId="2" fillId="13" borderId="0" xfId="0" applyFont="1" applyFill="1"/>
    <xf numFmtId="17" fontId="4" fillId="13" borderId="0" xfId="0" applyNumberFormat="1" applyFont="1" applyFill="1" applyAlignment="1">
      <alignment horizontal="right"/>
    </xf>
    <xf numFmtId="165" fontId="4" fillId="13" borderId="0" xfId="0" applyNumberFormat="1" applyFont="1" applyFill="1" applyAlignment="1">
      <alignment horizontal="right"/>
    </xf>
    <xf numFmtId="165" fontId="4" fillId="14" borderId="0" xfId="0" applyNumberFormat="1" applyFont="1" applyFill="1"/>
    <xf numFmtId="2" fontId="4" fillId="14" borderId="0" xfId="0" applyNumberFormat="1" applyFont="1" applyFill="1" applyAlignment="1">
      <alignment horizontal="right"/>
    </xf>
    <xf numFmtId="1" fontId="4" fillId="14" borderId="0" xfId="0" applyNumberFormat="1" applyFont="1" applyFill="1" applyAlignment="1">
      <alignment horizontal="right"/>
    </xf>
    <xf numFmtId="0" fontId="0" fillId="8" borderId="0" xfId="0" applyFill="1" applyAlignment="1">
      <alignment horizontal="center" vertical="center"/>
    </xf>
    <xf numFmtId="164" fontId="0" fillId="8" borderId="0" xfId="0" applyNumberFormat="1" applyFill="1" applyAlignment="1">
      <alignment horizontal="center" vertical="center"/>
    </xf>
    <xf numFmtId="164" fontId="0" fillId="8" borderId="0" xfId="0" applyNumberFormat="1" applyFill="1" applyAlignment="1">
      <alignment horizontal="center"/>
    </xf>
    <xf numFmtId="0" fontId="2" fillId="16" borderId="0" xfId="0" applyFont="1" applyFill="1" applyAlignment="1">
      <alignment horizontal="center" vertical="center"/>
    </xf>
    <xf numFmtId="164" fontId="2" fillId="2" borderId="2" xfId="0" applyNumberFormat="1" applyFont="1" applyFill="1" applyBorder="1" applyAlignment="1">
      <alignment horizontal="center" vertical="center"/>
    </xf>
    <xf numFmtId="164" fontId="0" fillId="6" borderId="11" xfId="0" applyNumberFormat="1" applyFill="1" applyBorder="1" applyAlignment="1">
      <alignment horizontal="center" vertical="center"/>
    </xf>
    <xf numFmtId="166" fontId="0" fillId="6" borderId="10" xfId="1" applyNumberFormat="1" applyFont="1" applyFill="1" applyBorder="1" applyAlignment="1">
      <alignment horizontal="center" vertical="center"/>
    </xf>
    <xf numFmtId="164" fontId="2" fillId="2" borderId="11" xfId="0" applyNumberFormat="1" applyFont="1" applyFill="1" applyBorder="1" applyAlignment="1">
      <alignment horizontal="center" vertical="center"/>
    </xf>
    <xf numFmtId="166" fontId="0" fillId="6" borderId="11" xfId="1" applyNumberFormat="1" applyFont="1" applyFill="1" applyBorder="1" applyAlignment="1">
      <alignment horizontal="center" vertical="center"/>
    </xf>
    <xf numFmtId="165" fontId="11" fillId="6" borderId="10" xfId="1" applyNumberFormat="1" applyFont="1" applyFill="1" applyBorder="1" applyAlignment="1">
      <alignment horizontal="right" vertical="center"/>
    </xf>
    <xf numFmtId="1" fontId="0" fillId="5" borderId="6" xfId="0" applyNumberFormat="1" applyFill="1" applyBorder="1" applyAlignment="1">
      <alignment horizontal="center" vertical="center"/>
    </xf>
    <xf numFmtId="1" fontId="0" fillId="6" borderId="6" xfId="0" applyNumberFormat="1" applyFill="1" applyBorder="1" applyAlignment="1">
      <alignment horizontal="center" vertical="center"/>
    </xf>
    <xf numFmtId="171" fontId="2" fillId="9" borderId="10" xfId="1" applyNumberFormat="1" applyFont="1" applyFill="1" applyBorder="1" applyAlignment="1">
      <alignment horizontal="center" vertical="center"/>
    </xf>
    <xf numFmtId="165" fontId="0" fillId="6" borderId="10" xfId="1" applyNumberFormat="1" applyFont="1" applyFill="1" applyBorder="1" applyAlignment="1">
      <alignment horizontal="right" vertical="center"/>
    </xf>
    <xf numFmtId="165" fontId="0" fillId="7" borderId="10" xfId="1" applyNumberFormat="1" applyFont="1" applyFill="1" applyBorder="1" applyAlignment="1">
      <alignment horizontal="right" vertical="center"/>
    </xf>
    <xf numFmtId="166" fontId="0" fillId="7" borderId="11" xfId="1" applyNumberFormat="1" applyFont="1" applyFill="1" applyBorder="1" applyAlignment="1">
      <alignment horizontal="center" vertical="center"/>
    </xf>
    <xf numFmtId="166" fontId="0" fillId="7" borderId="6" xfId="1" applyNumberFormat="1" applyFont="1" applyFill="1" applyBorder="1" applyAlignment="1">
      <alignment horizontal="center" vertical="center"/>
    </xf>
    <xf numFmtId="164" fontId="0" fillId="7" borderId="6" xfId="0" applyNumberFormat="1" applyFill="1" applyBorder="1" applyAlignment="1">
      <alignment horizontal="center" vertical="center"/>
    </xf>
    <xf numFmtId="166" fontId="0" fillId="7" borderId="10" xfId="1" applyNumberFormat="1" applyFont="1" applyFill="1" applyBorder="1" applyAlignment="1">
      <alignment horizontal="center" vertical="center"/>
    </xf>
    <xf numFmtId="164" fontId="0" fillId="7" borderId="11" xfId="0" applyNumberFormat="1" applyFill="1" applyBorder="1" applyAlignment="1">
      <alignment horizontal="center" vertical="center"/>
    </xf>
    <xf numFmtId="1" fontId="0" fillId="7" borderId="6" xfId="0" applyNumberFormat="1" applyFill="1" applyBorder="1" applyAlignment="1">
      <alignment horizontal="center" vertical="center"/>
    </xf>
    <xf numFmtId="165" fontId="0" fillId="7" borderId="6" xfId="0" applyNumberFormat="1" applyFill="1" applyBorder="1" applyAlignment="1">
      <alignment horizontal="center" vertical="center"/>
    </xf>
    <xf numFmtId="165" fontId="0" fillId="17" borderId="10" xfId="1" applyNumberFormat="1" applyFont="1" applyFill="1" applyBorder="1" applyAlignment="1">
      <alignment horizontal="right" vertical="center"/>
    </xf>
    <xf numFmtId="166" fontId="0" fillId="17" borderId="11" xfId="1" applyNumberFormat="1" applyFont="1" applyFill="1" applyBorder="1" applyAlignment="1">
      <alignment horizontal="center" vertical="center"/>
    </xf>
    <xf numFmtId="166" fontId="0" fillId="17" borderId="6" xfId="1" applyNumberFormat="1" applyFont="1" applyFill="1" applyBorder="1" applyAlignment="1">
      <alignment horizontal="center" vertical="center"/>
    </xf>
    <xf numFmtId="164" fontId="0" fillId="17" borderId="6" xfId="0" applyNumberFormat="1" applyFill="1" applyBorder="1" applyAlignment="1">
      <alignment horizontal="center" vertical="center"/>
    </xf>
    <xf numFmtId="166" fontId="0" fillId="17" borderId="10" xfId="1" applyNumberFormat="1" applyFont="1" applyFill="1" applyBorder="1" applyAlignment="1">
      <alignment horizontal="center" vertical="center"/>
    </xf>
    <xf numFmtId="164" fontId="0" fillId="17" borderId="11" xfId="0" applyNumberFormat="1" applyFill="1" applyBorder="1" applyAlignment="1">
      <alignment horizontal="center" vertical="center"/>
    </xf>
    <xf numFmtId="1" fontId="0" fillId="17" borderId="6" xfId="0" applyNumberFormat="1" applyFill="1" applyBorder="1" applyAlignment="1">
      <alignment horizontal="center" vertical="center"/>
    </xf>
    <xf numFmtId="165" fontId="0" fillId="17" borderId="6" xfId="0" applyNumberFormat="1" applyFill="1" applyBorder="1" applyAlignment="1">
      <alignment horizontal="center" vertical="center"/>
    </xf>
    <xf numFmtId="165" fontId="0" fillId="18" borderId="10" xfId="1" applyNumberFormat="1" applyFont="1" applyFill="1" applyBorder="1" applyAlignment="1">
      <alignment horizontal="right" vertical="center"/>
    </xf>
    <xf numFmtId="166" fontId="0" fillId="18" borderId="11" xfId="1" applyNumberFormat="1" applyFont="1" applyFill="1" applyBorder="1" applyAlignment="1">
      <alignment horizontal="center" vertical="center"/>
    </xf>
    <xf numFmtId="166" fontId="0" fillId="18" borderId="6" xfId="1" applyNumberFormat="1" applyFont="1" applyFill="1" applyBorder="1" applyAlignment="1">
      <alignment horizontal="center" vertical="center"/>
    </xf>
    <xf numFmtId="164" fontId="0" fillId="18" borderId="6" xfId="0" applyNumberFormat="1" applyFill="1" applyBorder="1" applyAlignment="1">
      <alignment horizontal="center" vertical="center"/>
    </xf>
    <xf numFmtId="166" fontId="0" fillId="18" borderId="10" xfId="1" applyNumberFormat="1" applyFont="1" applyFill="1" applyBorder="1" applyAlignment="1">
      <alignment horizontal="center" vertical="center"/>
    </xf>
    <xf numFmtId="164" fontId="0" fillId="18" borderId="11" xfId="0" applyNumberFormat="1" applyFill="1" applyBorder="1" applyAlignment="1">
      <alignment horizontal="center" vertical="center"/>
    </xf>
    <xf numFmtId="1" fontId="0" fillId="18" borderId="6" xfId="0" applyNumberFormat="1" applyFill="1" applyBorder="1" applyAlignment="1">
      <alignment horizontal="center" vertical="center"/>
    </xf>
    <xf numFmtId="165" fontId="0" fillId="18" borderId="6" xfId="0" applyNumberFormat="1" applyFill="1" applyBorder="1" applyAlignment="1">
      <alignment horizontal="center" vertical="center"/>
    </xf>
    <xf numFmtId="165" fontId="11" fillId="7" borderId="10" xfId="1" applyNumberFormat="1" applyFont="1" applyFill="1" applyBorder="1" applyAlignment="1">
      <alignment horizontal="right" vertical="center"/>
    </xf>
    <xf numFmtId="165" fontId="11" fillId="17" borderId="10" xfId="1" applyNumberFormat="1" applyFont="1" applyFill="1" applyBorder="1" applyAlignment="1">
      <alignment horizontal="right" vertical="center"/>
    </xf>
    <xf numFmtId="165" fontId="11" fillId="18" borderId="10" xfId="1" applyNumberFormat="1" applyFont="1" applyFill="1" applyBorder="1" applyAlignment="1">
      <alignment horizontal="right" vertical="center"/>
    </xf>
    <xf numFmtId="164" fontId="2" fillId="6" borderId="6" xfId="0" applyNumberFormat="1" applyFont="1" applyFill="1" applyBorder="1" applyAlignment="1">
      <alignment horizontal="center" vertical="center"/>
    </xf>
    <xf numFmtId="164" fontId="2" fillId="7" borderId="6" xfId="0" applyNumberFormat="1" applyFont="1" applyFill="1" applyBorder="1" applyAlignment="1">
      <alignment horizontal="center" vertical="center"/>
    </xf>
    <xf numFmtId="164" fontId="2" fillId="17" borderId="6" xfId="0" applyNumberFormat="1" applyFont="1" applyFill="1" applyBorder="1" applyAlignment="1">
      <alignment horizontal="center" vertical="center"/>
    </xf>
    <xf numFmtId="164" fontId="2" fillId="18" borderId="6" xfId="0" applyNumberFormat="1" applyFont="1" applyFill="1" applyBorder="1" applyAlignment="1">
      <alignment horizontal="center" vertical="center"/>
    </xf>
    <xf numFmtId="0" fontId="2" fillId="4" borderId="0" xfId="0" applyFont="1" applyFill="1" applyAlignment="1">
      <alignment vertical="center"/>
    </xf>
    <xf numFmtId="0" fontId="0" fillId="4" borderId="0" xfId="0" applyFill="1" applyAlignment="1">
      <alignment vertical="center" wrapText="1"/>
    </xf>
    <xf numFmtId="0" fontId="0" fillId="0" borderId="0" xfId="0" applyAlignment="1"/>
    <xf numFmtId="0" fontId="0" fillId="4" borderId="0" xfId="0" applyFill="1" applyAlignment="1">
      <alignment horizontal="left" vertical="center" wrapText="1"/>
    </xf>
    <xf numFmtId="0" fontId="0" fillId="0" borderId="0" xfId="0" applyAlignment="1">
      <alignment horizontal="left" vertical="center"/>
    </xf>
    <xf numFmtId="0" fontId="0" fillId="4" borderId="0" xfId="0" applyFont="1" applyFill="1" applyAlignment="1">
      <alignment vertical="center" wrapText="1"/>
    </xf>
    <xf numFmtId="17" fontId="0" fillId="4" borderId="3" xfId="0" applyNumberFormat="1" applyFill="1" applyBorder="1" applyAlignment="1">
      <alignment horizontal="center"/>
    </xf>
    <xf numFmtId="17" fontId="0" fillId="4" borderId="4" xfId="0" applyNumberFormat="1" applyFill="1" applyBorder="1" applyAlignment="1">
      <alignment horizontal="center"/>
    </xf>
    <xf numFmtId="17" fontId="0" fillId="4" borderId="2" xfId="0" applyNumberFormat="1" applyFill="1" applyBorder="1" applyAlignment="1">
      <alignment horizontal="center"/>
    </xf>
    <xf numFmtId="0" fontId="0" fillId="3" borderId="0" xfId="0" applyFill="1" applyAlignment="1">
      <alignment horizontal="left" wrapText="1"/>
    </xf>
    <xf numFmtId="0" fontId="0" fillId="0" borderId="0" xfId="0" applyAlignment="1">
      <alignment wrapText="1"/>
    </xf>
    <xf numFmtId="167" fontId="15" fillId="2" borderId="0" xfId="0" applyNumberFormat="1" applyFont="1" applyFill="1" applyAlignment="1">
      <alignment horizontal="center" vertical="center"/>
    </xf>
    <xf numFmtId="0" fontId="15" fillId="2" borderId="0" xfId="0" applyFont="1" applyFill="1" applyAlignment="1">
      <alignment horizontal="left" vertical="center"/>
    </xf>
    <xf numFmtId="0" fontId="0" fillId="7" borderId="0" xfId="0" applyFill="1" applyAlignment="1">
      <alignment horizontal="right" wrapText="1"/>
    </xf>
    <xf numFmtId="17" fontId="0" fillId="4" borderId="12" xfId="0" applyNumberFormat="1" applyFill="1" applyBorder="1" applyAlignment="1">
      <alignment horizontal="center"/>
    </xf>
    <xf numFmtId="0" fontId="18" fillId="2" borderId="0" xfId="0" applyFont="1" applyFill="1" applyBorder="1" applyAlignment="1">
      <alignment horizontal="left" wrapText="1"/>
    </xf>
  </cellXfs>
  <cellStyles count="7">
    <cellStyle name="Comma" xfId="1" builtinId="3"/>
    <cellStyle name="Comma 2" xfId="3" xr:uid="{00000000-0005-0000-0000-000001000000}"/>
    <cellStyle name="Comma 2 2" xfId="6" xr:uid="{C1A6999C-E54D-42E4-8DA0-3E5D1298094C}"/>
    <cellStyle name="Comma 3" xfId="5" xr:uid="{BCC2B63B-2298-4E4B-A377-28423DD18A9A}"/>
    <cellStyle name="Hyperlink" xfId="4" builtinId="8"/>
    <cellStyle name="Normal" xfId="0" builtinId="0"/>
    <cellStyle name="Percent" xfId="2" builtinId="5"/>
  </cellStyles>
  <dxfs count="0"/>
  <tableStyles count="0" defaultTableStyle="TableStyleMedium2" defaultPivotStyle="PivotStyleLight16"/>
  <colors>
    <mruColors>
      <color rgb="FFFF1D1D"/>
      <color rgb="FFCBA9E5"/>
      <color rgb="FFE2CFF1"/>
      <color rgb="FFFFCCCC"/>
      <color rgb="FFFF7C80"/>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Cashflow series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spPr>
            <a:ln w="28575" cap="rnd">
              <a:solidFill>
                <a:schemeClr val="accent1"/>
              </a:solidFill>
              <a:round/>
            </a:ln>
            <a:effectLst/>
          </c:spPr>
          <c:marker>
            <c:symbol val="none"/>
          </c:marker>
          <c:cat>
            <c:numRef>
              <c:f>Cashflow!$H$43:$AE$43</c:f>
              <c:numCache>
                <c:formatCode>mmm\-yy</c:formatCode>
                <c:ptCount val="24"/>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pt idx="12">
                  <c:v>43922</c:v>
                </c:pt>
                <c:pt idx="13">
                  <c:v>43952</c:v>
                </c:pt>
                <c:pt idx="14">
                  <c:v>43983</c:v>
                </c:pt>
                <c:pt idx="15">
                  <c:v>44013</c:v>
                </c:pt>
                <c:pt idx="16">
                  <c:v>44044</c:v>
                </c:pt>
                <c:pt idx="17">
                  <c:v>44075</c:v>
                </c:pt>
                <c:pt idx="18">
                  <c:v>44105</c:v>
                </c:pt>
                <c:pt idx="19">
                  <c:v>44136</c:v>
                </c:pt>
                <c:pt idx="20">
                  <c:v>44166</c:v>
                </c:pt>
                <c:pt idx="21">
                  <c:v>44197</c:v>
                </c:pt>
                <c:pt idx="22">
                  <c:v>44228</c:v>
                </c:pt>
                <c:pt idx="23">
                  <c:v>44256</c:v>
                </c:pt>
              </c:numCache>
            </c:numRef>
          </c:cat>
          <c:val>
            <c:numRef>
              <c:f>Cashflow!$H$44:$AE$44</c:f>
              <c:numCache>
                <c:formatCode>"£"#,##0</c:formatCode>
                <c:ptCount val="24"/>
                <c:pt idx="0">
                  <c:v>60262.742999367678</c:v>
                </c:pt>
                <c:pt idx="1">
                  <c:v>59881.840312314875</c:v>
                </c:pt>
                <c:pt idx="2">
                  <c:v>59848.776465372779</c:v>
                </c:pt>
                <c:pt idx="3">
                  <c:v>60605.67576238011</c:v>
                </c:pt>
                <c:pt idx="4">
                  <c:v>61180.90856662544</c:v>
                </c:pt>
                <c:pt idx="5">
                  <c:v>60710.589217582215</c:v>
                </c:pt>
                <c:pt idx="6">
                  <c:v>60850.589217582215</c:v>
                </c:pt>
                <c:pt idx="7">
                  <c:v>60780.589217582215</c:v>
                </c:pt>
                <c:pt idx="8">
                  <c:v>61085.589217582215</c:v>
                </c:pt>
                <c:pt idx="9">
                  <c:v>60933.089217582215</c:v>
                </c:pt>
                <c:pt idx="10">
                  <c:v>60933.089217582215</c:v>
                </c:pt>
                <c:pt idx="11">
                  <c:v>60933.089217582215</c:v>
                </c:pt>
                <c:pt idx="12">
                  <c:v>60933.089217582215</c:v>
                </c:pt>
                <c:pt idx="13">
                  <c:v>60933.089217582215</c:v>
                </c:pt>
                <c:pt idx="14">
                  <c:v>61238.089217582215</c:v>
                </c:pt>
                <c:pt idx="15">
                  <c:v>61085.589217582215</c:v>
                </c:pt>
                <c:pt idx="16">
                  <c:v>61085.589217582215</c:v>
                </c:pt>
                <c:pt idx="17">
                  <c:v>61085.589217582215</c:v>
                </c:pt>
                <c:pt idx="18">
                  <c:v>61085.589217582215</c:v>
                </c:pt>
                <c:pt idx="19">
                  <c:v>61085.589217582215</c:v>
                </c:pt>
                <c:pt idx="20">
                  <c:v>61085.589217582215</c:v>
                </c:pt>
                <c:pt idx="21">
                  <c:v>61085.589217582215</c:v>
                </c:pt>
                <c:pt idx="22">
                  <c:v>61085.589217582215</c:v>
                </c:pt>
                <c:pt idx="23">
                  <c:v>61085.589217582215</c:v>
                </c:pt>
              </c:numCache>
            </c:numRef>
          </c:val>
          <c:smooth val="0"/>
          <c:extLst>
            <c:ext xmlns:c16="http://schemas.microsoft.com/office/drawing/2014/chart" uri="{C3380CC4-5D6E-409C-BE32-E72D297353CC}">
              <c16:uniqueId val="{00000000-2840-4654-BC0D-432C753C24F9}"/>
            </c:ext>
          </c:extLst>
        </c:ser>
        <c:dLbls>
          <c:showLegendKey val="0"/>
          <c:showVal val="0"/>
          <c:showCatName val="0"/>
          <c:showSerName val="0"/>
          <c:showPercent val="0"/>
          <c:showBubbleSize val="0"/>
        </c:dLbls>
        <c:smooth val="0"/>
        <c:axId val="1215075839"/>
        <c:axId val="1222407903"/>
      </c:lineChart>
      <c:dateAx>
        <c:axId val="1215075839"/>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22407903"/>
        <c:crosses val="autoZero"/>
        <c:auto val="1"/>
        <c:lblOffset val="100"/>
        <c:baseTimeUnit val="months"/>
      </c:dateAx>
      <c:valAx>
        <c:axId val="1222407903"/>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1507583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600075</xdr:colOff>
      <xdr:row>3</xdr:row>
      <xdr:rowOff>95250</xdr:rowOff>
    </xdr:from>
    <xdr:to>
      <xdr:col>13</xdr:col>
      <xdr:colOff>0</xdr:colOff>
      <xdr:row>6</xdr:row>
      <xdr:rowOff>142876</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600075" y="771525"/>
          <a:ext cx="7324725" cy="619126"/>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latin typeface="+mn-lt"/>
            </a:rPr>
            <a:t>The following calculator</a:t>
          </a:r>
          <a:r>
            <a:rPr lang="en-GB" sz="1100" baseline="0">
              <a:latin typeface="+mn-lt"/>
            </a:rPr>
            <a:t> </a:t>
          </a:r>
          <a:r>
            <a:rPr lang="en-GB" sz="1100">
              <a:latin typeface="+mn-lt"/>
            </a:rPr>
            <a:t>illustrates indicative income levels and cashflow changes that could be expected by an average pharmacy in £ (sterling) for services provided under the Community Pharmacy Contractual Framework. These figures are based on the funding settlement for 2019/20 and 2020/21.</a:t>
          </a:r>
        </a:p>
      </xdr:txBody>
    </xdr:sp>
    <xdr:clientData/>
  </xdr:twoCellAnchor>
  <xdr:twoCellAnchor editAs="oneCell">
    <xdr:from>
      <xdr:col>12</xdr:col>
      <xdr:colOff>200025</xdr:colOff>
      <xdr:row>36</xdr:row>
      <xdr:rowOff>180975</xdr:rowOff>
    </xdr:from>
    <xdr:to>
      <xdr:col>12</xdr:col>
      <xdr:colOff>1324610</xdr:colOff>
      <xdr:row>40</xdr:row>
      <xdr:rowOff>57785</xdr:rowOff>
    </xdr:to>
    <xdr:pic>
      <xdr:nvPicPr>
        <xdr:cNvPr id="4" name="Picture 3">
          <a:extLst>
            <a:ext uri="{FF2B5EF4-FFF2-40B4-BE49-F238E27FC236}">
              <a16:creationId xmlns:a16="http://schemas.microsoft.com/office/drawing/2014/main" id="{00000000-0008-0000-0000-000004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387" t="5808" r="5226" b="4100"/>
        <a:stretch/>
      </xdr:blipFill>
      <xdr:spPr bwMode="auto">
        <a:xfrm>
          <a:off x="8543925" y="5314950"/>
          <a:ext cx="1124585" cy="81026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12</xdr:col>
      <xdr:colOff>1464945</xdr:colOff>
      <xdr:row>36</xdr:row>
      <xdr:rowOff>231140</xdr:rowOff>
    </xdr:from>
    <xdr:to>
      <xdr:col>12</xdr:col>
      <xdr:colOff>2415540</xdr:colOff>
      <xdr:row>40</xdr:row>
      <xdr:rowOff>55880</xdr:rowOff>
    </xdr:to>
    <xdr:pic>
      <xdr:nvPicPr>
        <xdr:cNvPr id="5" name="Picture 4">
          <a:extLst>
            <a:ext uri="{FF2B5EF4-FFF2-40B4-BE49-F238E27FC236}">
              <a16:creationId xmlns:a16="http://schemas.microsoft.com/office/drawing/2014/main" id="{00000000-0008-0000-0000-000005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6911" t="4620" r="5894" b="11646"/>
        <a:stretch/>
      </xdr:blipFill>
      <xdr:spPr bwMode="auto">
        <a:xfrm>
          <a:off x="9808845" y="5365115"/>
          <a:ext cx="1283970" cy="758190"/>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279796</xdr:colOff>
      <xdr:row>49</xdr:row>
      <xdr:rowOff>86914</xdr:rowOff>
    </xdr:from>
    <xdr:to>
      <xdr:col>18</xdr:col>
      <xdr:colOff>71437</xdr:colOff>
      <xdr:row>75</xdr:row>
      <xdr:rowOff>130968</xdr:rowOff>
    </xdr:to>
    <xdr:graphicFrame macro="">
      <xdr:nvGraphicFramePr>
        <xdr:cNvPr id="3" name="Chart 2">
          <a:extLst>
            <a:ext uri="{FF2B5EF4-FFF2-40B4-BE49-F238E27FC236}">
              <a16:creationId xmlns:a16="http://schemas.microsoft.com/office/drawing/2014/main" id="{63410B23-FD93-4490-8A1D-1D0367BDE7A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psncorg.sharepoint.com/Users/mdigby/AppData/Local/Microsoft/Windows/INetCache/Content.Outlook/V5Y8V9MT/Forecasting(toMay16itemsApr16costs)%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 drug tariff"/>
      <sheetName val="Data"/>
      <sheetName val="PrescriptionsForecast"/>
      <sheetName val="MURForecast"/>
      <sheetName val="MURForecast2"/>
      <sheetName val="Ex &amp; CP"/>
      <sheetName val="PreRegTraineesForecast"/>
      <sheetName val="Forecast"/>
      <sheetName val="ContractSum"/>
      <sheetName val="Historic"/>
      <sheetName val="Ts_inc forecast"/>
      <sheetName val="AUR Stoma split"/>
      <sheetName val="Sheet1"/>
      <sheetName val="Items annual"/>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2">
          <cell r="E2" t="str">
            <v>Financial Year Actual/Forecast Accruals Basis</v>
          </cell>
        </row>
        <row r="14">
          <cell r="E14" t="str">
            <v>2005/6 Actual</v>
          </cell>
        </row>
        <row r="15">
          <cell r="E15" t="str">
            <v>2005/6 Actual</v>
          </cell>
        </row>
        <row r="16">
          <cell r="E16" t="str">
            <v>2005/6 Actual</v>
          </cell>
        </row>
        <row r="17">
          <cell r="E17" t="str">
            <v>2005/6 Actual</v>
          </cell>
        </row>
        <row r="18">
          <cell r="E18" t="str">
            <v>2005/6 Actual</v>
          </cell>
        </row>
        <row r="19">
          <cell r="E19" t="str">
            <v>2005/6 Actual</v>
          </cell>
        </row>
        <row r="20">
          <cell r="E20" t="str">
            <v>2005/6 Actual</v>
          </cell>
        </row>
        <row r="21">
          <cell r="E21" t="str">
            <v>2005/6 Actual</v>
          </cell>
        </row>
        <row r="22">
          <cell r="E22" t="str">
            <v>2005/6 Actual</v>
          </cell>
        </row>
        <row r="23">
          <cell r="E23" t="str">
            <v>2005/6 Actual</v>
          </cell>
        </row>
        <row r="24">
          <cell r="E24" t="str">
            <v>2005/6 Actual</v>
          </cell>
        </row>
        <row r="25">
          <cell r="E25" t="str">
            <v>2005/6 Actual</v>
          </cell>
        </row>
        <row r="26">
          <cell r="E26" t="str">
            <v>2006/7 Actual</v>
          </cell>
        </row>
        <row r="27">
          <cell r="E27" t="str">
            <v>2006/7 Actual</v>
          </cell>
        </row>
        <row r="28">
          <cell r="E28" t="str">
            <v>2006/7 Actual</v>
          </cell>
        </row>
        <row r="29">
          <cell r="E29" t="str">
            <v>2006/7 Actual</v>
          </cell>
        </row>
        <row r="30">
          <cell r="E30" t="str">
            <v>2006/7 Actual</v>
          </cell>
        </row>
        <row r="31">
          <cell r="E31" t="str">
            <v>2006/7 Actual</v>
          </cell>
        </row>
        <row r="32">
          <cell r="E32" t="str">
            <v>2006/7 Actual</v>
          </cell>
        </row>
        <row r="33">
          <cell r="E33" t="str">
            <v>2006/7 Actual</v>
          </cell>
        </row>
        <row r="34">
          <cell r="E34" t="str">
            <v>2006/7 Actual</v>
          </cell>
        </row>
        <row r="35">
          <cell r="E35" t="str">
            <v>2006/7 Actual</v>
          </cell>
        </row>
        <row r="36">
          <cell r="E36" t="str">
            <v>2006/7 Actual</v>
          </cell>
        </row>
        <row r="37">
          <cell r="E37" t="str">
            <v>2006/7 Actual</v>
          </cell>
        </row>
        <row r="38">
          <cell r="E38" t="str">
            <v>2007/8 Actual</v>
          </cell>
        </row>
        <row r="39">
          <cell r="E39" t="str">
            <v>2007/8 Actual</v>
          </cell>
        </row>
        <row r="40">
          <cell r="E40" t="str">
            <v>2007/8 Actual</v>
          </cell>
        </row>
        <row r="41">
          <cell r="E41" t="str">
            <v>2007/8 Actual</v>
          </cell>
        </row>
        <row r="42">
          <cell r="E42" t="str">
            <v>2007/8 Actual</v>
          </cell>
        </row>
        <row r="43">
          <cell r="E43" t="str">
            <v>2007/8 Actual</v>
          </cell>
        </row>
        <row r="44">
          <cell r="E44" t="str">
            <v>2007/8 Actual</v>
          </cell>
        </row>
        <row r="45">
          <cell r="E45" t="str">
            <v>2007/8 Actual</v>
          </cell>
        </row>
        <row r="46">
          <cell r="E46" t="str">
            <v>2007/8 Actual</v>
          </cell>
        </row>
        <row r="47">
          <cell r="E47" t="str">
            <v>2007/8 Actual</v>
          </cell>
        </row>
        <row r="48">
          <cell r="E48" t="str">
            <v>2007/8 Actual</v>
          </cell>
        </row>
        <row r="49">
          <cell r="E49" t="str">
            <v>2007/8 Actual</v>
          </cell>
        </row>
        <row r="50">
          <cell r="E50" t="str">
            <v>2008/9 Actual</v>
          </cell>
        </row>
        <row r="51">
          <cell r="E51" t="str">
            <v>2008/9 Actual</v>
          </cell>
        </row>
        <row r="52">
          <cell r="E52" t="str">
            <v>2008/9 Actual</v>
          </cell>
        </row>
        <row r="53">
          <cell r="E53" t="str">
            <v>2008/9 Actual</v>
          </cell>
        </row>
        <row r="54">
          <cell r="E54" t="str">
            <v>2008/9 Actual</v>
          </cell>
        </row>
        <row r="55">
          <cell r="E55" t="str">
            <v>2008/9 Actual</v>
          </cell>
        </row>
        <row r="56">
          <cell r="E56" t="str">
            <v>2008/9 Actual</v>
          </cell>
        </row>
        <row r="57">
          <cell r="E57" t="str">
            <v>2008/9 Actual</v>
          </cell>
        </row>
        <row r="58">
          <cell r="E58" t="str">
            <v>2008/9 Actual</v>
          </cell>
        </row>
        <row r="59">
          <cell r="E59" t="str">
            <v>2008/9 Actual</v>
          </cell>
        </row>
        <row r="60">
          <cell r="E60" t="str">
            <v>2008/9 Actual</v>
          </cell>
        </row>
        <row r="61">
          <cell r="E61" t="str">
            <v>2008/9 Actual</v>
          </cell>
        </row>
        <row r="62">
          <cell r="E62" t="str">
            <v>2009/10 Actual</v>
          </cell>
        </row>
        <row r="63">
          <cell r="E63" t="str">
            <v>2009/10 Actual</v>
          </cell>
        </row>
        <row r="64">
          <cell r="E64" t="str">
            <v>2009/10 Actual</v>
          </cell>
        </row>
        <row r="65">
          <cell r="E65" t="str">
            <v>2009/10 Actual</v>
          </cell>
        </row>
        <row r="66">
          <cell r="E66" t="str">
            <v>2009/10 Actual</v>
          </cell>
        </row>
        <row r="67">
          <cell r="E67" t="str">
            <v>2009/10 Actual</v>
          </cell>
        </row>
        <row r="68">
          <cell r="E68" t="str">
            <v>2009/10 Actual</v>
          </cell>
        </row>
        <row r="69">
          <cell r="E69" t="str">
            <v>2009/10 Actual</v>
          </cell>
        </row>
        <row r="70">
          <cell r="E70" t="str">
            <v>2009/10 Actual</v>
          </cell>
        </row>
        <row r="71">
          <cell r="E71" t="str">
            <v>2009/10 Actual</v>
          </cell>
        </row>
        <row r="72">
          <cell r="E72" t="str">
            <v>2009/10 Actual</v>
          </cell>
        </row>
        <row r="73">
          <cell r="E73" t="str">
            <v>2009/10 Actual</v>
          </cell>
        </row>
        <row r="74">
          <cell r="E74" t="str">
            <v>2010/11 Actual</v>
          </cell>
        </row>
        <row r="75">
          <cell r="E75" t="str">
            <v>2010/11 Actual</v>
          </cell>
        </row>
        <row r="76">
          <cell r="E76" t="str">
            <v>2010/11 Actual</v>
          </cell>
        </row>
        <row r="77">
          <cell r="E77" t="str">
            <v>2010/11 Actual</v>
          </cell>
        </row>
        <row r="78">
          <cell r="E78" t="str">
            <v>2010/11 Actual</v>
          </cell>
        </row>
        <row r="79">
          <cell r="E79" t="str">
            <v>2010/11 Actual</v>
          </cell>
        </row>
        <row r="80">
          <cell r="E80" t="str">
            <v>2010/11 Actual</v>
          </cell>
        </row>
        <row r="81">
          <cell r="E81" t="str">
            <v>2010/11 Actual</v>
          </cell>
        </row>
        <row r="82">
          <cell r="E82" t="str">
            <v>2010/11 Actual</v>
          </cell>
        </row>
        <row r="83">
          <cell r="E83" t="str">
            <v>2010/11 Actual</v>
          </cell>
        </row>
        <row r="84">
          <cell r="E84" t="str">
            <v>2010/11 Actual</v>
          </cell>
        </row>
        <row r="85">
          <cell r="E85" t="str">
            <v>2010/11 Actual</v>
          </cell>
        </row>
        <row r="86">
          <cell r="E86" t="str">
            <v>2011/12 Actual</v>
          </cell>
        </row>
        <row r="87">
          <cell r="E87" t="str">
            <v>2011/12 Actual</v>
          </cell>
        </row>
        <row r="88">
          <cell r="E88" t="str">
            <v>2011/12 Actual</v>
          </cell>
        </row>
        <row r="89">
          <cell r="E89" t="str">
            <v>2011/12 Actual</v>
          </cell>
        </row>
        <row r="90">
          <cell r="E90" t="str">
            <v>2011/12 Actual</v>
          </cell>
        </row>
        <row r="91">
          <cell r="E91" t="str">
            <v>2011/12 Actual</v>
          </cell>
        </row>
        <row r="92">
          <cell r="E92" t="str">
            <v>2011/12 Actual</v>
          </cell>
        </row>
        <row r="93">
          <cell r="E93" t="str">
            <v>2011/12 Actual</v>
          </cell>
        </row>
        <row r="94">
          <cell r="E94" t="str">
            <v>2011/12 Actual</v>
          </cell>
        </row>
        <row r="95">
          <cell r="E95" t="str">
            <v>2011/12 Actual</v>
          </cell>
        </row>
        <row r="96">
          <cell r="E96" t="str">
            <v>2011/12 Actual</v>
          </cell>
        </row>
        <row r="97">
          <cell r="E97" t="str">
            <v>2011/12 Actual</v>
          </cell>
        </row>
        <row r="98">
          <cell r="E98" t="str">
            <v>2012/13 Actual</v>
          </cell>
        </row>
        <row r="99">
          <cell r="E99" t="str">
            <v>2012/13 Actual</v>
          </cell>
        </row>
        <row r="100">
          <cell r="E100" t="str">
            <v>2012/13 Actual</v>
          </cell>
        </row>
        <row r="101">
          <cell r="E101" t="str">
            <v>2012/13 Actual</v>
          </cell>
        </row>
        <row r="102">
          <cell r="E102" t="str">
            <v>2012/13 Actual</v>
          </cell>
        </row>
        <row r="103">
          <cell r="E103" t="str">
            <v>2012/13 Actual</v>
          </cell>
        </row>
        <row r="104">
          <cell r="E104" t="str">
            <v>2012/13 Actual</v>
          </cell>
        </row>
        <row r="105">
          <cell r="E105" t="str">
            <v>2012/13 Actual</v>
          </cell>
        </row>
        <row r="106">
          <cell r="E106" t="str">
            <v>2012/13 Actual</v>
          </cell>
        </row>
        <row r="107">
          <cell r="E107" t="str">
            <v>2012/13 Actual</v>
          </cell>
        </row>
        <row r="108">
          <cell r="E108" t="str">
            <v>2012/13 Actual</v>
          </cell>
        </row>
        <row r="109">
          <cell r="E109" t="str">
            <v>2012/13 Actual</v>
          </cell>
        </row>
        <row r="110">
          <cell r="E110" t="str">
            <v>2013/14 Actual</v>
          </cell>
        </row>
        <row r="111">
          <cell r="E111" t="str">
            <v>2013/14 Actual</v>
          </cell>
        </row>
        <row r="112">
          <cell r="E112" t="str">
            <v>2013/14 Actual</v>
          </cell>
        </row>
        <row r="113">
          <cell r="E113" t="str">
            <v>2013/14 Actual</v>
          </cell>
        </row>
        <row r="114">
          <cell r="E114" t="str">
            <v>2013/14 Actual</v>
          </cell>
        </row>
        <row r="115">
          <cell r="E115" t="str">
            <v>2013/14 Actual</v>
          </cell>
        </row>
        <row r="116">
          <cell r="E116" t="str">
            <v>2013/14 Actual</v>
          </cell>
        </row>
        <row r="117">
          <cell r="E117" t="str">
            <v>2013/14 Actual</v>
          </cell>
        </row>
        <row r="118">
          <cell r="E118" t="str">
            <v>2013/14 Actual</v>
          </cell>
        </row>
        <row r="119">
          <cell r="E119" t="str">
            <v>2013/14 Actual</v>
          </cell>
        </row>
        <row r="120">
          <cell r="E120" t="str">
            <v>2013/14 Actual</v>
          </cell>
        </row>
        <row r="121">
          <cell r="E121" t="str">
            <v>2013/14 Actual</v>
          </cell>
        </row>
        <row r="122">
          <cell r="E122" t="str">
            <v>2014/15 Actual</v>
          </cell>
        </row>
        <row r="123">
          <cell r="E123" t="str">
            <v>2014/15 Actual</v>
          </cell>
        </row>
        <row r="124">
          <cell r="E124" t="str">
            <v>2014/15 Actual</v>
          </cell>
        </row>
        <row r="125">
          <cell r="E125" t="str">
            <v>2014/15 Actual</v>
          </cell>
        </row>
        <row r="126">
          <cell r="E126" t="str">
            <v>2014/15 Actual</v>
          </cell>
        </row>
        <row r="127">
          <cell r="E127" t="str">
            <v>2014/15 Actual</v>
          </cell>
        </row>
        <row r="128">
          <cell r="E128" t="str">
            <v>2014/15 Actual</v>
          </cell>
        </row>
        <row r="129">
          <cell r="E129" t="str">
            <v>2014/15 Actual</v>
          </cell>
        </row>
        <row r="130">
          <cell r="E130" t="str">
            <v>2014/15 Actual</v>
          </cell>
        </row>
        <row r="131">
          <cell r="E131" t="str">
            <v>2014/15 Actual</v>
          </cell>
        </row>
        <row r="132">
          <cell r="E132" t="str">
            <v>2014/15 Actual</v>
          </cell>
        </row>
        <row r="133">
          <cell r="E133" t="str">
            <v>2014/15 Actual</v>
          </cell>
        </row>
        <row r="134">
          <cell r="E134" t="str">
            <v>2015/16 Actual</v>
          </cell>
        </row>
        <row r="135">
          <cell r="E135" t="str">
            <v>2015/16 Actual</v>
          </cell>
        </row>
        <row r="136">
          <cell r="E136" t="str">
            <v>2015/16 Actual</v>
          </cell>
        </row>
        <row r="137">
          <cell r="E137" t="str">
            <v>2015/16 Actual</v>
          </cell>
        </row>
        <row r="138">
          <cell r="E138" t="str">
            <v>2015/16 Actual</v>
          </cell>
        </row>
        <row r="139">
          <cell r="E139" t="str">
            <v>2015/16 Actual</v>
          </cell>
        </row>
        <row r="140">
          <cell r="E140" t="str">
            <v>2015/16 Actual</v>
          </cell>
        </row>
        <row r="141">
          <cell r="E141" t="str">
            <v>2015/16 Actual</v>
          </cell>
        </row>
        <row r="142">
          <cell r="E142" t="str">
            <v>2015/16 Actual</v>
          </cell>
        </row>
        <row r="143">
          <cell r="E143" t="str">
            <v>2015/16 Actual</v>
          </cell>
        </row>
        <row r="144">
          <cell r="E144" t="str">
            <v>2015/16 Actual</v>
          </cell>
        </row>
        <row r="145">
          <cell r="E145" t="str">
            <v>2015/16 Actual</v>
          </cell>
        </row>
        <row r="146">
          <cell r="E146" t="str">
            <v>2016/17 Actual</v>
          </cell>
        </row>
        <row r="147">
          <cell r="E147" t="str">
            <v>2016/17 Forecast</v>
          </cell>
        </row>
        <row r="148">
          <cell r="E148" t="str">
            <v>2016/17 Forecast</v>
          </cell>
        </row>
        <row r="149">
          <cell r="E149" t="str">
            <v>2016/17 Forecast</v>
          </cell>
        </row>
        <row r="150">
          <cell r="E150" t="str">
            <v>2016/17 Forecast</v>
          </cell>
        </row>
        <row r="151">
          <cell r="E151" t="str">
            <v>2016/17 Forecast</v>
          </cell>
        </row>
        <row r="152">
          <cell r="E152" t="str">
            <v>2016/17 Forecast</v>
          </cell>
        </row>
        <row r="153">
          <cell r="E153" t="str">
            <v>2016/17 Forecast</v>
          </cell>
        </row>
        <row r="154">
          <cell r="E154" t="str">
            <v>2016/17 Forecast</v>
          </cell>
        </row>
        <row r="155">
          <cell r="E155" t="str">
            <v>2016/17 Forecast</v>
          </cell>
        </row>
        <row r="156">
          <cell r="E156" t="str">
            <v>2016/17 Forecast</v>
          </cell>
        </row>
        <row r="157">
          <cell r="E157" t="str">
            <v>2016/17 Forecast</v>
          </cell>
        </row>
        <row r="158">
          <cell r="E158" t="str">
            <v>2017/18 Forecast</v>
          </cell>
        </row>
        <row r="159">
          <cell r="E159" t="str">
            <v>2017/18 Forecast</v>
          </cell>
        </row>
        <row r="160">
          <cell r="E160" t="str">
            <v>2017/18 Forecast</v>
          </cell>
        </row>
        <row r="161">
          <cell r="E161" t="str">
            <v>2017/18 Forecast</v>
          </cell>
        </row>
        <row r="162">
          <cell r="E162" t="str">
            <v>2017/18 Forecast</v>
          </cell>
        </row>
        <row r="163">
          <cell r="E163" t="str">
            <v>2017/18 Forecast</v>
          </cell>
        </row>
        <row r="164">
          <cell r="E164" t="str">
            <v>2017/18 Forecast</v>
          </cell>
        </row>
        <row r="165">
          <cell r="E165" t="str">
            <v>2017/18 Forecast</v>
          </cell>
        </row>
        <row r="166">
          <cell r="E166" t="str">
            <v>2017/18 Forecast</v>
          </cell>
        </row>
        <row r="167">
          <cell r="E167" t="str">
            <v>2017/18 Forecast</v>
          </cell>
        </row>
        <row r="168">
          <cell r="E168" t="str">
            <v>2017/18 Forecast</v>
          </cell>
        </row>
        <row r="169">
          <cell r="E169" t="str">
            <v>2017/18 Forecast</v>
          </cell>
        </row>
        <row r="170">
          <cell r="E170" t="str">
            <v>2018/19 Forecast</v>
          </cell>
        </row>
        <row r="171">
          <cell r="E171" t="str">
            <v>2018/19 Forecast</v>
          </cell>
        </row>
        <row r="172">
          <cell r="E172" t="str">
            <v>2018/19 Forecast</v>
          </cell>
        </row>
        <row r="173">
          <cell r="E173" t="str">
            <v>2018/19 Forecast</v>
          </cell>
        </row>
        <row r="174">
          <cell r="E174" t="str">
            <v>2018/19 Forecast</v>
          </cell>
        </row>
        <row r="175">
          <cell r="E175" t="str">
            <v>2018/19 Forecast</v>
          </cell>
        </row>
      </sheetData>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9" tint="0.39997558519241921"/>
  </sheetPr>
  <dimension ref="A3:M40"/>
  <sheetViews>
    <sheetView tabSelected="1" workbookViewId="0">
      <selection activeCell="B1" sqref="B1"/>
    </sheetView>
  </sheetViews>
  <sheetFormatPr defaultColWidth="9.140625" defaultRowHeight="15" x14ac:dyDescent="0.25"/>
  <cols>
    <col min="1" max="1" width="9.140625" style="1"/>
    <col min="2" max="2" width="14.28515625" style="1" customWidth="1"/>
    <col min="3" max="12" width="9.140625" style="1"/>
    <col min="13" max="13" width="42.28515625" style="1" customWidth="1"/>
    <col min="14" max="16384" width="9.140625" style="1"/>
  </cols>
  <sheetData>
    <row r="3" spans="2:13" ht="21" x14ac:dyDescent="0.25">
      <c r="B3" s="15" t="s">
        <v>30</v>
      </c>
    </row>
    <row r="8" spans="2:13" s="6" customFormat="1" x14ac:dyDescent="0.25"/>
    <row r="9" spans="2:13" s="6" customFormat="1" x14ac:dyDescent="0.25">
      <c r="B9" s="20"/>
      <c r="C9" s="12"/>
      <c r="D9" s="3"/>
      <c r="E9" s="3"/>
      <c r="F9" s="3"/>
      <c r="G9" s="3"/>
      <c r="H9" s="3"/>
      <c r="I9" s="3"/>
      <c r="J9" s="3"/>
      <c r="K9" s="3"/>
      <c r="L9" s="3"/>
      <c r="M9" s="3"/>
    </row>
    <row r="10" spans="2:13" s="6" customFormat="1" x14ac:dyDescent="0.25">
      <c r="B10" s="20"/>
      <c r="C10" s="161" t="s">
        <v>100</v>
      </c>
      <c r="D10" s="3"/>
      <c r="E10" s="3"/>
      <c r="F10" s="3"/>
      <c r="G10" s="3"/>
      <c r="H10" s="3"/>
      <c r="I10" s="3"/>
      <c r="J10" s="3"/>
      <c r="K10" s="3"/>
      <c r="L10" s="3"/>
      <c r="M10" s="3"/>
    </row>
    <row r="11" spans="2:13" s="6" customFormat="1" ht="35.25" customHeight="1" x14ac:dyDescent="0.25">
      <c r="B11" s="20"/>
      <c r="C11" s="166" t="s">
        <v>109</v>
      </c>
      <c r="D11" s="163"/>
      <c r="E11" s="163"/>
      <c r="F11" s="163"/>
      <c r="G11" s="163"/>
      <c r="H11" s="163"/>
      <c r="I11" s="163"/>
      <c r="J11" s="163"/>
      <c r="K11" s="163"/>
      <c r="L11" s="163"/>
      <c r="M11" s="163"/>
    </row>
    <row r="12" spans="2:13" s="6" customFormat="1" x14ac:dyDescent="0.25">
      <c r="B12" s="20"/>
      <c r="C12" s="161" t="s">
        <v>104</v>
      </c>
      <c r="D12" s="3"/>
      <c r="E12" s="3"/>
      <c r="F12" s="3"/>
      <c r="G12" s="3"/>
      <c r="H12" s="3"/>
      <c r="I12" s="3"/>
      <c r="J12" s="3"/>
      <c r="K12" s="3"/>
      <c r="L12" s="3"/>
      <c r="M12" s="3"/>
    </row>
    <row r="13" spans="2:13" s="6" customFormat="1" x14ac:dyDescent="0.25">
      <c r="B13" s="20"/>
      <c r="C13" s="12" t="s">
        <v>105</v>
      </c>
      <c r="D13" s="3"/>
      <c r="E13" s="3"/>
      <c r="F13" s="3"/>
      <c r="G13" s="3"/>
      <c r="H13" s="3"/>
      <c r="I13" s="3"/>
      <c r="J13" s="3"/>
      <c r="K13" s="3"/>
      <c r="L13" s="3"/>
      <c r="M13" s="3"/>
    </row>
    <row r="14" spans="2:13" s="6" customFormat="1" ht="31.5" customHeight="1" x14ac:dyDescent="0.25">
      <c r="B14" s="20"/>
      <c r="C14" s="162" t="s">
        <v>107</v>
      </c>
      <c r="D14" s="163"/>
      <c r="E14" s="163"/>
      <c r="F14" s="163"/>
      <c r="G14" s="163"/>
      <c r="H14" s="163"/>
      <c r="I14" s="163"/>
      <c r="J14" s="163"/>
      <c r="K14" s="163"/>
      <c r="L14" s="163"/>
      <c r="M14" s="163"/>
    </row>
    <row r="15" spans="2:13" s="6" customFormat="1" x14ac:dyDescent="0.25">
      <c r="B15" s="20"/>
      <c r="C15" s="12" t="s">
        <v>108</v>
      </c>
      <c r="D15" s="3"/>
      <c r="E15" s="3"/>
      <c r="F15" s="3"/>
      <c r="G15" s="3"/>
      <c r="H15" s="3"/>
      <c r="I15" s="3"/>
      <c r="J15" s="3"/>
      <c r="K15" s="3"/>
      <c r="L15" s="3"/>
      <c r="M15" s="3"/>
    </row>
    <row r="16" spans="2:13" s="6" customFormat="1" x14ac:dyDescent="0.25">
      <c r="B16" s="20"/>
      <c r="C16" s="12"/>
      <c r="D16" s="3"/>
      <c r="E16" s="3"/>
      <c r="F16" s="3"/>
      <c r="G16" s="3"/>
      <c r="H16" s="3"/>
      <c r="I16" s="3"/>
      <c r="J16" s="3"/>
      <c r="K16" s="3"/>
      <c r="L16" s="3"/>
      <c r="M16" s="3"/>
    </row>
    <row r="17" spans="2:13" s="6" customFormat="1" x14ac:dyDescent="0.25"/>
    <row r="18" spans="2:13" s="6" customFormat="1" x14ac:dyDescent="0.25">
      <c r="B18" s="20"/>
      <c r="C18" s="12"/>
      <c r="D18" s="3"/>
      <c r="E18" s="3"/>
      <c r="F18" s="3"/>
      <c r="G18" s="3"/>
      <c r="H18" s="3"/>
      <c r="I18" s="3"/>
      <c r="J18" s="3"/>
      <c r="K18" s="3"/>
      <c r="L18" s="3"/>
      <c r="M18" s="3"/>
    </row>
    <row r="19" spans="2:13" s="6" customFormat="1" x14ac:dyDescent="0.25">
      <c r="B19" s="20"/>
      <c r="C19" s="20" t="s">
        <v>99</v>
      </c>
      <c r="D19" s="3"/>
      <c r="E19" s="3"/>
      <c r="F19" s="3"/>
      <c r="G19" s="3"/>
      <c r="H19" s="3"/>
      <c r="I19" s="3"/>
      <c r="J19" s="3"/>
      <c r="K19" s="3"/>
      <c r="L19" s="3"/>
      <c r="M19" s="3"/>
    </row>
    <row r="20" spans="2:13" ht="25.5" customHeight="1" x14ac:dyDescent="0.25">
      <c r="B20" s="20"/>
      <c r="C20" s="12" t="s">
        <v>8</v>
      </c>
      <c r="D20" s="3"/>
      <c r="E20" s="3"/>
      <c r="F20" s="3"/>
      <c r="G20" s="3"/>
      <c r="H20" s="3"/>
      <c r="I20" s="3"/>
      <c r="J20" s="3"/>
      <c r="K20" s="3"/>
      <c r="L20" s="3"/>
      <c r="M20" s="3"/>
    </row>
    <row r="21" spans="2:13" ht="27.75" customHeight="1" x14ac:dyDescent="0.25">
      <c r="B21" s="3"/>
      <c r="C21" s="164" t="s">
        <v>102</v>
      </c>
      <c r="D21" s="164"/>
      <c r="E21" s="164"/>
      <c r="F21" s="164"/>
      <c r="G21" s="164"/>
      <c r="H21" s="164"/>
      <c r="I21" s="164"/>
      <c r="J21" s="164"/>
      <c r="K21" s="164"/>
      <c r="L21" s="164"/>
      <c r="M21" s="164"/>
    </row>
    <row r="22" spans="2:13" ht="21.75" customHeight="1" x14ac:dyDescent="0.25">
      <c r="B22" s="5"/>
      <c r="C22" s="164" t="s">
        <v>31</v>
      </c>
      <c r="D22" s="164"/>
      <c r="E22" s="164"/>
      <c r="F22" s="164"/>
      <c r="G22" s="164"/>
      <c r="H22" s="164"/>
      <c r="I22" s="164"/>
      <c r="J22" s="164"/>
      <c r="K22" s="164"/>
      <c r="L22" s="164"/>
      <c r="M22" s="164"/>
    </row>
    <row r="23" spans="2:13" s="6" customFormat="1" ht="21.75" customHeight="1" x14ac:dyDescent="0.25">
      <c r="B23" s="5"/>
      <c r="C23" s="164"/>
      <c r="D23" s="164"/>
      <c r="E23" s="164"/>
      <c r="F23" s="164"/>
      <c r="G23" s="164"/>
      <c r="H23" s="164"/>
      <c r="I23" s="164"/>
      <c r="J23" s="164"/>
      <c r="K23" s="164"/>
      <c r="L23" s="164"/>
      <c r="M23" s="164"/>
    </row>
    <row r="24" spans="2:13" s="6" customFormat="1" ht="21.75" customHeight="1" x14ac:dyDescent="0.25">
      <c r="B24" s="5"/>
      <c r="C24" s="164" t="s">
        <v>106</v>
      </c>
      <c r="D24" s="165"/>
      <c r="E24" s="165"/>
      <c r="F24" s="165"/>
      <c r="G24" s="165"/>
      <c r="H24" s="165"/>
      <c r="I24" s="165"/>
      <c r="J24" s="165"/>
      <c r="K24" s="165"/>
      <c r="L24" s="165"/>
      <c r="M24" s="165"/>
    </row>
    <row r="25" spans="2:13" s="6" customFormat="1" ht="42.75" customHeight="1" x14ac:dyDescent="0.25">
      <c r="B25" s="5"/>
      <c r="C25" s="165"/>
      <c r="D25" s="165"/>
      <c r="E25" s="165"/>
      <c r="F25" s="165"/>
      <c r="G25" s="165"/>
      <c r="H25" s="165"/>
      <c r="I25" s="165"/>
      <c r="J25" s="165"/>
      <c r="K25" s="165"/>
      <c r="L25" s="165"/>
      <c r="M25" s="165"/>
    </row>
    <row r="26" spans="2:13" ht="27" customHeight="1" x14ac:dyDescent="0.25">
      <c r="B26" s="5"/>
      <c r="C26" s="164" t="s">
        <v>5</v>
      </c>
      <c r="D26" s="164"/>
      <c r="E26" s="164"/>
      <c r="F26" s="164"/>
      <c r="G26" s="164"/>
      <c r="H26" s="164"/>
      <c r="I26" s="164"/>
      <c r="J26" s="164"/>
      <c r="K26" s="164"/>
      <c r="L26" s="164"/>
      <c r="M26" s="164"/>
    </row>
    <row r="27" spans="2:13" s="6" customFormat="1" ht="27" customHeight="1" x14ac:dyDescent="0.25">
      <c r="B27" s="5"/>
      <c r="C27" s="164"/>
      <c r="D27" s="164"/>
      <c r="E27" s="164"/>
      <c r="F27" s="164"/>
      <c r="G27" s="164"/>
      <c r="H27" s="164"/>
      <c r="I27" s="164"/>
      <c r="J27" s="164"/>
      <c r="K27" s="164"/>
      <c r="L27" s="164"/>
      <c r="M27" s="164"/>
    </row>
    <row r="28" spans="2:13" s="6" customFormat="1" ht="27" customHeight="1" x14ac:dyDescent="0.25">
      <c r="B28" s="5"/>
      <c r="C28" s="164" t="s">
        <v>96</v>
      </c>
      <c r="D28" s="165"/>
      <c r="E28" s="165"/>
      <c r="F28" s="165"/>
      <c r="G28" s="165"/>
      <c r="H28" s="165"/>
      <c r="I28" s="165"/>
      <c r="J28" s="165"/>
      <c r="K28" s="165"/>
      <c r="L28" s="165"/>
      <c r="M28" s="165"/>
    </row>
    <row r="29" spans="2:13" s="6" customFormat="1" ht="27" customHeight="1" x14ac:dyDescent="0.25">
      <c r="B29" s="5"/>
      <c r="C29" s="165"/>
      <c r="D29" s="165"/>
      <c r="E29" s="165"/>
      <c r="F29" s="165"/>
      <c r="G29" s="165"/>
      <c r="H29" s="165"/>
      <c r="I29" s="165"/>
      <c r="J29" s="165"/>
      <c r="K29" s="165"/>
      <c r="L29" s="165"/>
      <c r="M29" s="165"/>
    </row>
    <row r="30" spans="2:13" s="6" customFormat="1" ht="27" customHeight="1" x14ac:dyDescent="0.25">
      <c r="B30" s="5"/>
      <c r="C30" s="162" t="s">
        <v>97</v>
      </c>
      <c r="D30" s="163"/>
      <c r="E30" s="163"/>
      <c r="F30" s="163"/>
      <c r="G30" s="163"/>
      <c r="H30" s="163"/>
      <c r="I30" s="163"/>
      <c r="J30" s="163"/>
      <c r="K30" s="163"/>
      <c r="L30" s="163"/>
      <c r="M30" s="163"/>
    </row>
    <row r="31" spans="2:13" s="6" customFormat="1" ht="27" customHeight="1" x14ac:dyDescent="0.25">
      <c r="B31" s="5"/>
      <c r="C31" s="163"/>
      <c r="D31" s="163"/>
      <c r="E31" s="163"/>
      <c r="F31" s="163"/>
      <c r="G31" s="163"/>
      <c r="H31" s="163"/>
      <c r="I31" s="163"/>
      <c r="J31" s="163"/>
      <c r="K31" s="163"/>
      <c r="L31" s="163"/>
      <c r="M31" s="163"/>
    </row>
    <row r="32" spans="2:13" s="6" customFormat="1" ht="22.5" customHeight="1" x14ac:dyDescent="0.25">
      <c r="B32" s="5"/>
      <c r="C32" s="162" t="s">
        <v>98</v>
      </c>
      <c r="D32" s="163"/>
      <c r="E32" s="163"/>
      <c r="F32" s="163"/>
      <c r="G32" s="163"/>
      <c r="H32" s="163"/>
      <c r="I32" s="163"/>
      <c r="J32" s="163"/>
      <c r="K32" s="163"/>
      <c r="L32" s="163"/>
      <c r="M32" s="163"/>
    </row>
    <row r="33" spans="1:13" s="6" customFormat="1" ht="20.25" customHeight="1" x14ac:dyDescent="0.25">
      <c r="B33" s="5"/>
      <c r="C33" s="163"/>
      <c r="D33" s="163"/>
      <c r="E33" s="163"/>
      <c r="F33" s="163"/>
      <c r="G33" s="163"/>
      <c r="H33" s="163"/>
      <c r="I33" s="163"/>
      <c r="J33" s="163"/>
      <c r="K33" s="163"/>
      <c r="L33" s="163"/>
      <c r="M33" s="163"/>
    </row>
    <row r="34" spans="1:13" s="6" customFormat="1" ht="32.25" customHeight="1" x14ac:dyDescent="0.25">
      <c r="B34" s="5"/>
      <c r="C34" s="12" t="s">
        <v>7</v>
      </c>
      <c r="D34" s="3"/>
      <c r="E34" s="3"/>
      <c r="F34" s="3"/>
      <c r="G34" s="3"/>
      <c r="H34" s="3"/>
      <c r="I34" s="3"/>
      <c r="J34" s="3"/>
      <c r="K34" s="3"/>
      <c r="L34" s="3"/>
      <c r="M34" s="3"/>
    </row>
    <row r="35" spans="1:13" s="6" customFormat="1" x14ac:dyDescent="0.25">
      <c r="B35" s="5"/>
      <c r="C35" s="3"/>
      <c r="D35" s="12"/>
      <c r="E35" s="12"/>
      <c r="F35" s="12"/>
      <c r="G35" s="10"/>
      <c r="H35" s="9"/>
      <c r="I35" s="9"/>
      <c r="J35" s="7"/>
      <c r="K35" s="7"/>
      <c r="L35" s="7"/>
      <c r="M35" s="7"/>
    </row>
    <row r="36" spans="1:13" s="6" customFormat="1" ht="4.5" customHeight="1" x14ac:dyDescent="0.25">
      <c r="B36" s="5"/>
      <c r="C36" s="3"/>
      <c r="D36" s="7"/>
      <c r="E36" s="7"/>
      <c r="F36" s="7"/>
      <c r="G36" s="7"/>
      <c r="H36" s="7"/>
      <c r="I36" s="7"/>
      <c r="J36" s="7"/>
      <c r="K36" s="7"/>
      <c r="L36" s="7"/>
      <c r="M36" s="7"/>
    </row>
    <row r="37" spans="1:13" s="6" customFormat="1" ht="21.75" customHeight="1" x14ac:dyDescent="0.25">
      <c r="B37" s="8"/>
      <c r="D37" s="11"/>
      <c r="E37" s="11"/>
      <c r="F37" s="11"/>
      <c r="G37" s="11"/>
      <c r="H37" s="11"/>
      <c r="I37" s="11"/>
      <c r="J37" s="11"/>
      <c r="K37" s="11"/>
      <c r="L37" s="11"/>
      <c r="M37" s="11"/>
    </row>
    <row r="38" spans="1:13" ht="21.75" customHeight="1" x14ac:dyDescent="0.25">
      <c r="A38" s="6"/>
      <c r="B38" s="14" t="s">
        <v>103</v>
      </c>
      <c r="C38" s="6"/>
      <c r="D38" s="6"/>
      <c r="E38" s="6"/>
      <c r="F38" s="6"/>
      <c r="G38" s="6"/>
      <c r="H38" s="6"/>
      <c r="I38" s="6"/>
      <c r="J38" s="6"/>
      <c r="K38" s="6"/>
      <c r="L38" s="6"/>
      <c r="M38" s="13"/>
    </row>
    <row r="39" spans="1:13" x14ac:dyDescent="0.25">
      <c r="A39" s="6"/>
      <c r="B39" s="6"/>
      <c r="C39" s="6"/>
      <c r="D39" s="6"/>
      <c r="E39" s="6"/>
      <c r="F39" s="6"/>
      <c r="G39" s="6"/>
      <c r="H39" s="6"/>
      <c r="I39" s="6"/>
      <c r="J39" s="6"/>
      <c r="K39" s="6"/>
      <c r="L39" s="6"/>
      <c r="M39" s="6"/>
    </row>
    <row r="40" spans="1:13" x14ac:dyDescent="0.25">
      <c r="A40" s="6"/>
      <c r="B40" s="6"/>
      <c r="C40" s="6"/>
      <c r="D40" s="6"/>
      <c r="E40" s="6"/>
      <c r="F40" s="6"/>
      <c r="G40" s="6"/>
      <c r="H40" s="6"/>
      <c r="I40" s="6"/>
      <c r="J40" s="6"/>
      <c r="K40" s="6"/>
      <c r="L40" s="6"/>
      <c r="M40" s="6"/>
    </row>
  </sheetData>
  <mergeCells count="9">
    <mergeCell ref="C32:M33"/>
    <mergeCell ref="C24:M25"/>
    <mergeCell ref="C11:M11"/>
    <mergeCell ref="C14:M14"/>
    <mergeCell ref="C22:M23"/>
    <mergeCell ref="C26:M27"/>
    <mergeCell ref="C21:M21"/>
    <mergeCell ref="C28:M29"/>
    <mergeCell ref="C30:M3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4"/>
  </sheetPr>
  <dimension ref="A2:BB143"/>
  <sheetViews>
    <sheetView zoomScale="80" zoomScaleNormal="80" workbookViewId="0">
      <selection activeCell="M9" sqref="M9"/>
    </sheetView>
  </sheetViews>
  <sheetFormatPr defaultRowHeight="15" x14ac:dyDescent="0.25"/>
  <cols>
    <col min="1" max="1" width="9.140625" style="6"/>
    <col min="2" max="2" width="7.7109375" style="13" customWidth="1"/>
    <col min="3" max="3" width="28.140625" style="13" customWidth="1"/>
    <col min="4" max="7" width="10.140625" style="6" hidden="1" customWidth="1"/>
    <col min="8" max="33" width="10.140625" style="6" customWidth="1"/>
    <col min="34" max="34" width="14.28515625" style="6" customWidth="1"/>
    <col min="35" max="35" width="11.42578125" style="6" customWidth="1"/>
    <col min="36" max="36" width="11.28515625" style="6" customWidth="1"/>
    <col min="37" max="37" width="12.140625" style="6" customWidth="1"/>
    <col min="38" max="38" width="13.7109375" style="6" customWidth="1"/>
    <col min="39" max="39" width="15.28515625" style="6" customWidth="1"/>
    <col min="40" max="40" width="8.85546875" style="6" customWidth="1"/>
    <col min="41" max="41" width="6.5703125" style="6" customWidth="1"/>
    <col min="42" max="42" width="14.85546875" style="6" customWidth="1"/>
    <col min="43" max="43" width="14.5703125" style="6" customWidth="1"/>
    <col min="44" max="44" width="12" style="6" customWidth="1"/>
    <col min="45" max="45" width="15.7109375" style="6" customWidth="1"/>
    <col min="46" max="46" width="9" style="6" customWidth="1"/>
    <col min="47" max="47" width="13.7109375" style="6" customWidth="1"/>
    <col min="48" max="48" width="9.140625" style="6"/>
    <col min="49" max="49" width="7.85546875" style="6" customWidth="1"/>
    <col min="50" max="50" width="6.5703125" style="6" bestFit="1" customWidth="1"/>
    <col min="51" max="16384" width="9.140625" style="6"/>
  </cols>
  <sheetData>
    <row r="2" spans="2:47" ht="21" x14ac:dyDescent="0.25">
      <c r="H2" s="15" t="s">
        <v>9</v>
      </c>
      <c r="I2" s="13"/>
      <c r="J2" s="13"/>
      <c r="K2" s="13"/>
      <c r="L2" s="13"/>
    </row>
    <row r="3" spans="2:47" x14ac:dyDescent="0.25">
      <c r="H3" s="13"/>
      <c r="I3" s="13"/>
      <c r="J3" s="13"/>
      <c r="K3" s="13"/>
      <c r="L3" s="13"/>
    </row>
    <row r="4" spans="2:47" ht="36" customHeight="1" x14ac:dyDescent="0.25">
      <c r="H4" s="170" t="s">
        <v>85</v>
      </c>
      <c r="I4" s="171"/>
      <c r="J4" s="171"/>
      <c r="K4" s="171"/>
      <c r="L4" s="171"/>
      <c r="M4" s="171"/>
      <c r="N4" s="171"/>
      <c r="O4" s="171"/>
      <c r="P4" s="171"/>
      <c r="Q4" s="171"/>
      <c r="R4" s="171"/>
      <c r="S4" s="171"/>
      <c r="T4" s="171"/>
      <c r="U4" s="171"/>
      <c r="V4" s="171"/>
      <c r="W4" s="171"/>
      <c r="X4" s="171"/>
      <c r="Y4" s="171"/>
    </row>
    <row r="5" spans="2:47" x14ac:dyDescent="0.25">
      <c r="H5" s="13"/>
      <c r="I5" s="13"/>
      <c r="J5" s="13"/>
      <c r="K5" s="13"/>
      <c r="L5" s="13"/>
    </row>
    <row r="6" spans="2:47" ht="17.25" x14ac:dyDescent="0.25">
      <c r="H6" s="97" t="s">
        <v>48</v>
      </c>
      <c r="I6" s="97"/>
      <c r="J6" s="97"/>
      <c r="K6" s="97"/>
      <c r="L6" s="97"/>
      <c r="M6" s="97"/>
      <c r="N6" s="97"/>
      <c r="O6" s="97"/>
      <c r="P6" s="97"/>
      <c r="Q6" s="97"/>
      <c r="R6" s="97"/>
      <c r="S6" s="97"/>
      <c r="T6" s="97"/>
      <c r="U6" s="97"/>
      <c r="V6" s="97"/>
      <c r="W6" s="97"/>
      <c r="X6" s="97"/>
      <c r="Y6" s="97"/>
      <c r="AI6" s="23"/>
    </row>
    <row r="7" spans="2:47" ht="17.25" x14ac:dyDescent="0.25">
      <c r="H7" s="97" t="s">
        <v>86</v>
      </c>
      <c r="I7" s="97"/>
      <c r="J7" s="97"/>
      <c r="K7" s="97"/>
      <c r="L7" s="97"/>
      <c r="M7" s="97"/>
      <c r="N7" s="97"/>
      <c r="O7" s="97"/>
      <c r="P7" s="97"/>
      <c r="Q7" s="97"/>
      <c r="R7" s="97"/>
      <c r="S7" s="97"/>
      <c r="T7" s="97"/>
      <c r="U7" s="97"/>
      <c r="V7" s="97"/>
      <c r="W7" s="97"/>
      <c r="X7" s="97"/>
      <c r="Y7" s="97"/>
      <c r="AI7" s="23"/>
    </row>
    <row r="8" spans="2:47" ht="22.5" customHeight="1" thickBot="1" x14ac:dyDescent="0.3">
      <c r="H8" s="13"/>
      <c r="I8" s="13"/>
      <c r="J8" s="85" t="s">
        <v>32</v>
      </c>
      <c r="K8" s="13"/>
      <c r="L8" s="13"/>
      <c r="AI8" s="26"/>
    </row>
    <row r="9" spans="2:47" s="4" customFormat="1" ht="25.5" customHeight="1" thickBot="1" x14ac:dyDescent="0.3">
      <c r="H9" s="27"/>
      <c r="I9" s="27" t="s">
        <v>10</v>
      </c>
      <c r="J9" s="128">
        <v>7000</v>
      </c>
      <c r="K9" s="83" t="s">
        <v>11</v>
      </c>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4"/>
    </row>
    <row r="10" spans="2:47" ht="16.5" thickTop="1" thickBot="1" x14ac:dyDescent="0.3">
      <c r="B10" s="6"/>
      <c r="D10" s="167"/>
      <c r="E10" s="167"/>
      <c r="F10" s="167"/>
      <c r="G10" s="168"/>
      <c r="H10" s="169" t="s">
        <v>41</v>
      </c>
      <c r="I10" s="167"/>
      <c r="J10" s="175"/>
      <c r="K10" s="167"/>
      <c r="L10" s="167"/>
      <c r="M10" s="168"/>
      <c r="N10" s="169" t="s">
        <v>42</v>
      </c>
      <c r="O10" s="167"/>
      <c r="P10" s="167"/>
      <c r="Q10" s="167"/>
      <c r="R10" s="167"/>
      <c r="S10" s="168"/>
      <c r="T10" s="169" t="s">
        <v>57</v>
      </c>
      <c r="U10" s="167"/>
      <c r="V10" s="167"/>
      <c r="W10" s="167"/>
      <c r="X10" s="167"/>
      <c r="Y10" s="168"/>
      <c r="Z10" s="169" t="s">
        <v>58</v>
      </c>
      <c r="AA10" s="167"/>
      <c r="AB10" s="167"/>
      <c r="AC10" s="167"/>
      <c r="AD10" s="167"/>
      <c r="AE10" s="168"/>
      <c r="AF10" s="84"/>
      <c r="AG10" s="84"/>
    </row>
    <row r="11" spans="2:47" ht="16.5" customHeight="1" thickTop="1" x14ac:dyDescent="0.25">
      <c r="B11" s="6"/>
      <c r="D11" s="22"/>
      <c r="E11" s="22"/>
      <c r="F11" s="22"/>
      <c r="G11" s="22"/>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row>
    <row r="12" spans="2:47" ht="15.75" thickBot="1" x14ac:dyDescent="0.3">
      <c r="B12" s="24"/>
      <c r="C12" s="101" t="s">
        <v>12</v>
      </c>
      <c r="D12" s="25">
        <v>43435</v>
      </c>
      <c r="E12" s="25">
        <v>43466</v>
      </c>
      <c r="F12" s="25">
        <v>43497</v>
      </c>
      <c r="G12" s="25">
        <v>43525</v>
      </c>
      <c r="H12" s="25">
        <v>43556</v>
      </c>
      <c r="I12" s="25">
        <v>43586</v>
      </c>
      <c r="J12" s="25">
        <v>43617</v>
      </c>
      <c r="K12" s="25">
        <v>43647</v>
      </c>
      <c r="L12" s="25">
        <v>43678</v>
      </c>
      <c r="M12" s="25">
        <v>43709</v>
      </c>
      <c r="N12" s="25">
        <v>43739</v>
      </c>
      <c r="O12" s="25">
        <v>43770</v>
      </c>
      <c r="P12" s="25">
        <v>43800</v>
      </c>
      <c r="Q12" s="25">
        <v>43831</v>
      </c>
      <c r="R12" s="25">
        <v>43862</v>
      </c>
      <c r="S12" s="25">
        <v>43891</v>
      </c>
      <c r="T12" s="25">
        <v>43922</v>
      </c>
      <c r="U12" s="25">
        <v>43952</v>
      </c>
      <c r="V12" s="25">
        <v>43983</v>
      </c>
      <c r="W12" s="25">
        <v>44013</v>
      </c>
      <c r="X12" s="25">
        <v>44044</v>
      </c>
      <c r="Y12" s="25">
        <v>44075</v>
      </c>
      <c r="Z12" s="25">
        <v>44105</v>
      </c>
      <c r="AA12" s="25">
        <v>44136</v>
      </c>
      <c r="AB12" s="25">
        <v>44166</v>
      </c>
      <c r="AC12" s="25">
        <v>44197</v>
      </c>
      <c r="AD12" s="25">
        <v>44228</v>
      </c>
      <c r="AE12" s="25">
        <v>44256</v>
      </c>
      <c r="AF12" s="84"/>
      <c r="AG12" s="84"/>
    </row>
    <row r="13" spans="2:47" ht="21.75" customHeight="1" thickBot="1" x14ac:dyDescent="0.3">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row>
    <row r="14" spans="2:47" s="27" customFormat="1" ht="22.5" customHeight="1" thickBot="1" x14ac:dyDescent="0.3">
      <c r="B14" s="6"/>
      <c r="C14" s="19" t="s">
        <v>13</v>
      </c>
      <c r="D14" s="129">
        <v>8.5186796629681503</v>
      </c>
      <c r="E14" s="130">
        <v>8.5110546160134923</v>
      </c>
      <c r="F14" s="138">
        <v>8.5600089508187232</v>
      </c>
      <c r="G14" s="146">
        <v>8.5572787834318529</v>
      </c>
      <c r="H14" s="129">
        <v>8.5535519963854103</v>
      </c>
      <c r="I14" s="154">
        <v>8.6057528383627133</v>
      </c>
      <c r="J14" s="155">
        <v>8.6729413167974592</v>
      </c>
      <c r="K14" s="156">
        <f t="shared" ref="K14:AC14" si="0">J14+M40</f>
        <v>8.6729413167974592</v>
      </c>
      <c r="L14" s="125">
        <f t="shared" si="0"/>
        <v>8.682941316797459</v>
      </c>
      <c r="M14" s="154">
        <f t="shared" si="0"/>
        <v>8.682941316797459</v>
      </c>
      <c r="N14" s="155">
        <f t="shared" si="0"/>
        <v>8.7047270310831735</v>
      </c>
      <c r="O14" s="156">
        <f t="shared" si="0"/>
        <v>8.7047270310831735</v>
      </c>
      <c r="P14" s="125">
        <f t="shared" si="0"/>
        <v>8.7047270310831735</v>
      </c>
      <c r="Q14" s="154">
        <f t="shared" si="0"/>
        <v>8.7047270310831735</v>
      </c>
      <c r="R14" s="155">
        <f t="shared" si="0"/>
        <v>8.7047270310831735</v>
      </c>
      <c r="S14" s="156">
        <f t="shared" si="0"/>
        <v>8.7047270310831735</v>
      </c>
      <c r="T14" s="125">
        <f t="shared" si="0"/>
        <v>8.726512745368888</v>
      </c>
      <c r="U14" s="154">
        <f t="shared" si="0"/>
        <v>8.726512745368888</v>
      </c>
      <c r="V14" s="155">
        <f t="shared" si="0"/>
        <v>8.726512745368888</v>
      </c>
      <c r="W14" s="156">
        <f t="shared" si="0"/>
        <v>8.726512745368888</v>
      </c>
      <c r="X14" s="125">
        <f t="shared" si="0"/>
        <v>8.726512745368888</v>
      </c>
      <c r="Y14" s="154">
        <f t="shared" si="0"/>
        <v>8.726512745368888</v>
      </c>
      <c r="Z14" s="155">
        <f t="shared" si="0"/>
        <v>8.726512745368888</v>
      </c>
      <c r="AA14" s="156">
        <f t="shared" si="0"/>
        <v>8.726512745368888</v>
      </c>
      <c r="AB14" s="125">
        <f t="shared" si="0"/>
        <v>8.726512745368888</v>
      </c>
      <c r="AC14" s="154">
        <f t="shared" si="0"/>
        <v>8.726512745368888</v>
      </c>
      <c r="AD14" s="155">
        <f>AC14+AF35</f>
        <v>8.726512745368888</v>
      </c>
      <c r="AE14" s="156">
        <f>AD14+AG35</f>
        <v>8.726512745368888</v>
      </c>
      <c r="AF14" s="84"/>
      <c r="AG14" s="84"/>
      <c r="AH14" s="6"/>
      <c r="AJ14" s="6"/>
      <c r="AK14" s="6"/>
      <c r="AL14" s="6"/>
      <c r="AM14" s="6"/>
      <c r="AN14" s="6"/>
      <c r="AO14" s="6"/>
      <c r="AP14" s="6"/>
      <c r="AQ14" s="6"/>
      <c r="AR14" s="6"/>
      <c r="AS14" s="6"/>
      <c r="AT14" s="6"/>
      <c r="AU14" s="6"/>
    </row>
    <row r="15" spans="2:47" s="27" customFormat="1" ht="22.5" customHeight="1" thickBot="1" x14ac:dyDescent="0.3">
      <c r="B15" s="28"/>
      <c r="C15" s="27" t="s">
        <v>14</v>
      </c>
      <c r="D15" s="123"/>
      <c r="E15" s="131">
        <f>J9</f>
        <v>7000</v>
      </c>
      <c r="F15" s="139">
        <f t="shared" ref="F15" si="1">E15</f>
        <v>7000</v>
      </c>
      <c r="G15" s="147">
        <f t="shared" ref="G15" si="2">F15</f>
        <v>7000</v>
      </c>
      <c r="H15" s="124">
        <f t="shared" ref="H15:R15" si="3">G15</f>
        <v>7000</v>
      </c>
      <c r="I15" s="131">
        <f t="shared" si="3"/>
        <v>7000</v>
      </c>
      <c r="J15" s="139">
        <f t="shared" si="3"/>
        <v>7000</v>
      </c>
      <c r="K15" s="147">
        <f t="shared" si="3"/>
        <v>7000</v>
      </c>
      <c r="L15" s="124">
        <f>K15</f>
        <v>7000</v>
      </c>
      <c r="M15" s="131">
        <f t="shared" si="3"/>
        <v>7000</v>
      </c>
      <c r="N15" s="139">
        <f t="shared" si="3"/>
        <v>7000</v>
      </c>
      <c r="O15" s="147">
        <f t="shared" si="3"/>
        <v>7000</v>
      </c>
      <c r="P15" s="124">
        <f t="shared" si="3"/>
        <v>7000</v>
      </c>
      <c r="Q15" s="131">
        <f t="shared" si="3"/>
        <v>7000</v>
      </c>
      <c r="R15" s="139">
        <f t="shared" si="3"/>
        <v>7000</v>
      </c>
      <c r="S15" s="147">
        <f>R15</f>
        <v>7000</v>
      </c>
      <c r="T15" s="124">
        <f t="shared" ref="T15" si="4">S15</f>
        <v>7000</v>
      </c>
      <c r="U15" s="131">
        <f t="shared" ref="U15" si="5">T15</f>
        <v>7000</v>
      </c>
      <c r="V15" s="139">
        <f t="shared" ref="V15" si="6">U15</f>
        <v>7000</v>
      </c>
      <c r="W15" s="147">
        <f t="shared" ref="W15" si="7">V15</f>
        <v>7000</v>
      </c>
      <c r="X15" s="124">
        <f t="shared" ref="X15" si="8">W15</f>
        <v>7000</v>
      </c>
      <c r="Y15" s="131">
        <f t="shared" ref="Y15" si="9">X15</f>
        <v>7000</v>
      </c>
      <c r="Z15" s="139">
        <f t="shared" ref="Z15" si="10">Y15</f>
        <v>7000</v>
      </c>
      <c r="AA15" s="147">
        <f t="shared" ref="AA15" si="11">Z15</f>
        <v>7000</v>
      </c>
      <c r="AB15" s="124">
        <f t="shared" ref="AB15" si="12">AA15</f>
        <v>7000</v>
      </c>
      <c r="AC15" s="131">
        <f t="shared" ref="AC15" si="13">AB15</f>
        <v>7000</v>
      </c>
      <c r="AD15" s="139">
        <f t="shared" ref="AD15" si="14">AC15</f>
        <v>7000</v>
      </c>
      <c r="AE15" s="147">
        <f t="shared" ref="AE15" si="15">AD15</f>
        <v>7000</v>
      </c>
      <c r="AF15" s="84"/>
      <c r="AG15" s="84"/>
      <c r="AH15" s="6"/>
      <c r="AI15" s="23"/>
      <c r="AJ15" s="31"/>
      <c r="AK15" s="31"/>
      <c r="AL15" s="31"/>
      <c r="AM15" s="31"/>
      <c r="AN15" s="6"/>
      <c r="AO15" s="6"/>
      <c r="AP15" s="6"/>
      <c r="AQ15" s="6"/>
      <c r="AR15" s="6"/>
      <c r="AS15" s="6"/>
      <c r="AT15" s="6"/>
      <c r="AU15" s="6"/>
    </row>
    <row r="16" spans="2:47" s="27" customFormat="1" ht="22.5" customHeight="1" thickTop="1" thickBot="1" x14ac:dyDescent="0.3">
      <c r="B16" s="6"/>
      <c r="C16" s="27" t="s">
        <v>15</v>
      </c>
      <c r="D16" s="36"/>
      <c r="E16" s="132">
        <f>E15</f>
        <v>7000</v>
      </c>
      <c r="F16" s="140">
        <f t="shared" ref="F16:S16" si="16">F15</f>
        <v>7000</v>
      </c>
      <c r="G16" s="148">
        <f t="shared" si="16"/>
        <v>7000</v>
      </c>
      <c r="H16" s="29">
        <f t="shared" si="16"/>
        <v>7000</v>
      </c>
      <c r="I16" s="132">
        <f t="shared" si="16"/>
        <v>7000</v>
      </c>
      <c r="J16" s="140">
        <f t="shared" si="16"/>
        <v>7000</v>
      </c>
      <c r="K16" s="148">
        <f t="shared" si="16"/>
        <v>7000</v>
      </c>
      <c r="L16" s="29">
        <f t="shared" si="16"/>
        <v>7000</v>
      </c>
      <c r="M16" s="132">
        <f t="shared" si="16"/>
        <v>7000</v>
      </c>
      <c r="N16" s="140">
        <f t="shared" si="16"/>
        <v>7000</v>
      </c>
      <c r="O16" s="148">
        <f t="shared" si="16"/>
        <v>7000</v>
      </c>
      <c r="P16" s="29">
        <f t="shared" si="16"/>
        <v>7000</v>
      </c>
      <c r="Q16" s="132">
        <f t="shared" si="16"/>
        <v>7000</v>
      </c>
      <c r="R16" s="140">
        <f t="shared" si="16"/>
        <v>7000</v>
      </c>
      <c r="S16" s="148">
        <f t="shared" si="16"/>
        <v>7000</v>
      </c>
      <c r="T16" s="29">
        <f t="shared" ref="T16:AA16" si="17">T15</f>
        <v>7000</v>
      </c>
      <c r="U16" s="132">
        <f t="shared" si="17"/>
        <v>7000</v>
      </c>
      <c r="V16" s="140">
        <f t="shared" si="17"/>
        <v>7000</v>
      </c>
      <c r="W16" s="148">
        <f t="shared" si="17"/>
        <v>7000</v>
      </c>
      <c r="X16" s="29">
        <f t="shared" si="17"/>
        <v>7000</v>
      </c>
      <c r="Y16" s="132">
        <f t="shared" si="17"/>
        <v>7000</v>
      </c>
      <c r="Z16" s="140">
        <f t="shared" si="17"/>
        <v>7000</v>
      </c>
      <c r="AA16" s="148">
        <f t="shared" si="17"/>
        <v>7000</v>
      </c>
      <c r="AB16" s="29">
        <f t="shared" ref="AB16:AE16" si="18">AB15</f>
        <v>7000</v>
      </c>
      <c r="AC16" s="132">
        <f t="shared" si="18"/>
        <v>7000</v>
      </c>
      <c r="AD16" s="140">
        <f t="shared" si="18"/>
        <v>7000</v>
      </c>
      <c r="AE16" s="148">
        <f t="shared" si="18"/>
        <v>7000</v>
      </c>
      <c r="AF16" s="84"/>
      <c r="AG16" s="84"/>
      <c r="AH16" s="6"/>
      <c r="AI16" s="30"/>
      <c r="AJ16" s="31"/>
      <c r="AK16" s="31"/>
      <c r="AL16" s="31"/>
      <c r="AM16" s="31"/>
      <c r="AN16" s="6"/>
      <c r="AO16" s="6"/>
      <c r="AP16" s="6"/>
      <c r="AQ16" s="6"/>
      <c r="AR16" s="6"/>
      <c r="AS16" s="6"/>
      <c r="AT16" s="6"/>
      <c r="AU16" s="6"/>
    </row>
    <row r="17" spans="1:53" s="27" customFormat="1" ht="22.5" customHeight="1" thickTop="1" thickBot="1" x14ac:dyDescent="0.3">
      <c r="A17" s="19"/>
      <c r="B17" s="6"/>
      <c r="C17" s="19" t="s">
        <v>16</v>
      </c>
      <c r="D17" s="36"/>
      <c r="E17" s="32"/>
      <c r="F17" s="133">
        <f t="shared" ref="F17:S17" si="19">D14*E15</f>
        <v>59630.757640777054</v>
      </c>
      <c r="G17" s="141">
        <f t="shared" si="19"/>
        <v>59577.382312094443</v>
      </c>
      <c r="H17" s="149">
        <f t="shared" si="19"/>
        <v>59920.062655731061</v>
      </c>
      <c r="I17" s="32">
        <f t="shared" si="19"/>
        <v>59900.951484022968</v>
      </c>
      <c r="J17" s="133">
        <f t="shared" si="19"/>
        <v>59874.863974697873</v>
      </c>
      <c r="K17" s="141">
        <f t="shared" si="19"/>
        <v>60240.269868538991</v>
      </c>
      <c r="L17" s="149">
        <f t="shared" si="19"/>
        <v>60710.589217582215</v>
      </c>
      <c r="M17" s="32">
        <f t="shared" si="19"/>
        <v>60710.589217582215</v>
      </c>
      <c r="N17" s="133">
        <f t="shared" si="19"/>
        <v>60780.589217582215</v>
      </c>
      <c r="O17" s="141">
        <f t="shared" si="19"/>
        <v>60780.589217582215</v>
      </c>
      <c r="P17" s="149">
        <f>N14*O15</f>
        <v>60933.089217582215</v>
      </c>
      <c r="Q17" s="32">
        <f t="shared" si="19"/>
        <v>60933.089217582215</v>
      </c>
      <c r="R17" s="133">
        <f t="shared" si="19"/>
        <v>60933.089217582215</v>
      </c>
      <c r="S17" s="141">
        <f t="shared" si="19"/>
        <v>60933.089217582215</v>
      </c>
      <c r="T17" s="149">
        <f t="shared" ref="T17" si="20">R14*S15</f>
        <v>60933.089217582215</v>
      </c>
      <c r="U17" s="32">
        <f t="shared" ref="U17" si="21">S14*T15</f>
        <v>60933.089217582215</v>
      </c>
      <c r="V17" s="133">
        <f t="shared" ref="V17" si="22">T14*U15</f>
        <v>61085.589217582215</v>
      </c>
      <c r="W17" s="141">
        <f t="shared" ref="W17" si="23">U14*V15</f>
        <v>61085.589217582215</v>
      </c>
      <c r="X17" s="149">
        <f t="shared" ref="X17" si="24">V14*W15</f>
        <v>61085.589217582215</v>
      </c>
      <c r="Y17" s="32">
        <f t="shared" ref="Y17" si="25">W14*X15</f>
        <v>61085.589217582215</v>
      </c>
      <c r="Z17" s="133">
        <f t="shared" ref="Z17" si="26">X14*Y15</f>
        <v>61085.589217582215</v>
      </c>
      <c r="AA17" s="141">
        <f t="shared" ref="AA17" si="27">Y14*Z15</f>
        <v>61085.589217582215</v>
      </c>
      <c r="AB17" s="149">
        <f t="shared" ref="AB17" si="28">Z14*AA15</f>
        <v>61085.589217582215</v>
      </c>
      <c r="AC17" s="32">
        <f t="shared" ref="AC17" si="29">AA14*AB15</f>
        <v>61085.589217582215</v>
      </c>
      <c r="AD17" s="133">
        <f t="shared" ref="AD17" si="30">AB14*AC15</f>
        <v>61085.589217582215</v>
      </c>
      <c r="AE17" s="141">
        <f t="shared" ref="AE17" si="31">AC14*AD15</f>
        <v>61085.589217582215</v>
      </c>
      <c r="AF17" s="84"/>
      <c r="AG17" s="84"/>
      <c r="AH17" s="6"/>
      <c r="AI17" s="33"/>
      <c r="AJ17" s="34"/>
      <c r="AK17" s="31"/>
      <c r="AL17" s="31"/>
      <c r="AM17" s="31"/>
      <c r="AN17" s="6"/>
      <c r="AO17" s="6"/>
      <c r="AP17" s="6"/>
      <c r="AQ17" s="6"/>
      <c r="AR17" s="6"/>
      <c r="AS17" s="6"/>
      <c r="AT17" s="6"/>
      <c r="AU17" s="6"/>
    </row>
    <row r="18" spans="1:53" s="27" customFormat="1" ht="22.5" customHeight="1" thickTop="1" thickBot="1" x14ac:dyDescent="0.3">
      <c r="A18" s="19"/>
      <c r="B18" s="19"/>
      <c r="C18" s="19" t="s">
        <v>17</v>
      </c>
      <c r="D18" s="36"/>
      <c r="E18" s="36"/>
      <c r="F18" s="32">
        <f t="shared" ref="F18:S18" si="32">-E17</f>
        <v>0</v>
      </c>
      <c r="G18" s="133">
        <f t="shared" si="32"/>
        <v>-59630.757640777054</v>
      </c>
      <c r="H18" s="141">
        <f t="shared" si="32"/>
        <v>-59577.382312094443</v>
      </c>
      <c r="I18" s="149">
        <f t="shared" si="32"/>
        <v>-59920.062655731061</v>
      </c>
      <c r="J18" s="32">
        <f t="shared" si="32"/>
        <v>-59900.951484022968</v>
      </c>
      <c r="K18" s="133">
        <f t="shared" si="32"/>
        <v>-59874.863974697873</v>
      </c>
      <c r="L18" s="141">
        <f t="shared" si="32"/>
        <v>-60240.269868538991</v>
      </c>
      <c r="M18" s="149">
        <f t="shared" si="32"/>
        <v>-60710.589217582215</v>
      </c>
      <c r="N18" s="32">
        <f t="shared" si="32"/>
        <v>-60710.589217582215</v>
      </c>
      <c r="O18" s="133">
        <f t="shared" si="32"/>
        <v>-60780.589217582215</v>
      </c>
      <c r="P18" s="141">
        <f>-O17</f>
        <v>-60780.589217582215</v>
      </c>
      <c r="Q18" s="149">
        <f>-P17</f>
        <v>-60933.089217582215</v>
      </c>
      <c r="R18" s="32">
        <f t="shared" si="32"/>
        <v>-60933.089217582215</v>
      </c>
      <c r="S18" s="133">
        <f t="shared" si="32"/>
        <v>-60933.089217582215</v>
      </c>
      <c r="T18" s="141">
        <f t="shared" ref="T18" si="33">-S17</f>
        <v>-60933.089217582215</v>
      </c>
      <c r="U18" s="149">
        <f t="shared" ref="U18" si="34">-T17</f>
        <v>-60933.089217582215</v>
      </c>
      <c r="V18" s="32">
        <f t="shared" ref="V18" si="35">-U17</f>
        <v>-60933.089217582215</v>
      </c>
      <c r="W18" s="133">
        <f t="shared" ref="W18" si="36">-V17</f>
        <v>-61085.589217582215</v>
      </c>
      <c r="X18" s="141">
        <f t="shared" ref="X18" si="37">-W17</f>
        <v>-61085.589217582215</v>
      </c>
      <c r="Y18" s="149">
        <f t="shared" ref="Y18" si="38">-X17</f>
        <v>-61085.589217582215</v>
      </c>
      <c r="Z18" s="32">
        <f t="shared" ref="Z18" si="39">-Y17</f>
        <v>-61085.589217582215</v>
      </c>
      <c r="AA18" s="133">
        <f t="shared" ref="AA18" si="40">-Z17</f>
        <v>-61085.589217582215</v>
      </c>
      <c r="AB18" s="141">
        <f t="shared" ref="AB18" si="41">-AA17</f>
        <v>-61085.589217582215</v>
      </c>
      <c r="AC18" s="149">
        <f t="shared" ref="AC18" si="42">-AB17</f>
        <v>-61085.589217582215</v>
      </c>
      <c r="AD18" s="32">
        <f t="shared" ref="AD18" si="43">-AC17</f>
        <v>-61085.589217582215</v>
      </c>
      <c r="AE18" s="133">
        <f t="shared" ref="AE18" si="44">-AD17</f>
        <v>-61085.589217582215</v>
      </c>
      <c r="AF18" s="84"/>
      <c r="AG18" s="84"/>
      <c r="AH18" s="6"/>
      <c r="AI18" s="33"/>
      <c r="AJ18" s="34"/>
      <c r="AK18" s="31"/>
      <c r="AL18" s="31"/>
      <c r="AM18" s="31"/>
      <c r="AN18" s="6"/>
      <c r="AO18" s="6"/>
      <c r="AP18" s="6"/>
      <c r="AQ18" s="6"/>
      <c r="AR18" s="6"/>
      <c r="AS18" s="6"/>
      <c r="AT18" s="6"/>
      <c r="AU18" s="6"/>
    </row>
    <row r="19" spans="1:53" s="27" customFormat="1" ht="22.5" customHeight="1" thickTop="1" thickBot="1" x14ac:dyDescent="0.3">
      <c r="A19" s="19"/>
      <c r="B19" s="19"/>
      <c r="C19" s="19" t="s">
        <v>18</v>
      </c>
      <c r="D19" s="36"/>
      <c r="E19" s="36"/>
      <c r="F19" s="32">
        <f t="shared" ref="F19:S19" si="45">D14*D15</f>
        <v>0</v>
      </c>
      <c r="G19" s="133">
        <f t="shared" si="45"/>
        <v>59577.382312094443</v>
      </c>
      <c r="H19" s="141">
        <f t="shared" si="45"/>
        <v>59920.062655731061</v>
      </c>
      <c r="I19" s="149">
        <f t="shared" si="45"/>
        <v>59900.951484022968</v>
      </c>
      <c r="J19" s="32">
        <f t="shared" si="45"/>
        <v>59874.863974697873</v>
      </c>
      <c r="K19" s="133">
        <f t="shared" si="45"/>
        <v>60240.269868538991</v>
      </c>
      <c r="L19" s="141">
        <f t="shared" si="45"/>
        <v>60710.589217582215</v>
      </c>
      <c r="M19" s="149">
        <f t="shared" si="45"/>
        <v>60710.589217582215</v>
      </c>
      <c r="N19" s="32">
        <f t="shared" si="45"/>
        <v>60780.589217582215</v>
      </c>
      <c r="O19" s="133">
        <f t="shared" si="45"/>
        <v>60780.589217582215</v>
      </c>
      <c r="P19" s="141">
        <f>N14*N15</f>
        <v>60933.089217582215</v>
      </c>
      <c r="Q19" s="149">
        <f>O14*O15</f>
        <v>60933.089217582215</v>
      </c>
      <c r="R19" s="32">
        <f t="shared" si="45"/>
        <v>60933.089217582215</v>
      </c>
      <c r="S19" s="133">
        <f t="shared" si="45"/>
        <v>60933.089217582215</v>
      </c>
      <c r="T19" s="141">
        <f t="shared" ref="T19" si="46">R14*R15</f>
        <v>60933.089217582215</v>
      </c>
      <c r="U19" s="149">
        <f t="shared" ref="U19" si="47">S14*S15</f>
        <v>60933.089217582215</v>
      </c>
      <c r="V19" s="32">
        <f t="shared" ref="V19" si="48">T14*T15</f>
        <v>61085.589217582215</v>
      </c>
      <c r="W19" s="133">
        <f t="shared" ref="W19" si="49">U14*U15</f>
        <v>61085.589217582215</v>
      </c>
      <c r="X19" s="141">
        <f t="shared" ref="X19" si="50">V14*V15</f>
        <v>61085.589217582215</v>
      </c>
      <c r="Y19" s="149">
        <f t="shared" ref="Y19" si="51">W14*W15</f>
        <v>61085.589217582215</v>
      </c>
      <c r="Z19" s="32">
        <f t="shared" ref="Z19" si="52">X14*X15</f>
        <v>61085.589217582215</v>
      </c>
      <c r="AA19" s="133">
        <f>Y14*Y15</f>
        <v>61085.589217582215</v>
      </c>
      <c r="AB19" s="141">
        <f t="shared" ref="AB19" si="53">Z14*Z15</f>
        <v>61085.589217582215</v>
      </c>
      <c r="AC19" s="149">
        <f t="shared" ref="AC19" si="54">AA14*AA15</f>
        <v>61085.589217582215</v>
      </c>
      <c r="AD19" s="32">
        <f t="shared" ref="AD19" si="55">AB14*AB15</f>
        <v>61085.589217582215</v>
      </c>
      <c r="AE19" s="133">
        <f>AC14*AC15</f>
        <v>61085.589217582215</v>
      </c>
      <c r="AF19" s="84"/>
      <c r="AG19" s="84"/>
      <c r="AH19" s="6"/>
      <c r="AI19" s="33"/>
      <c r="AJ19" s="34"/>
      <c r="AK19" s="31"/>
      <c r="AL19" s="31"/>
      <c r="AM19" s="31"/>
      <c r="AN19" s="6"/>
      <c r="AO19" s="6"/>
      <c r="AP19" s="6"/>
      <c r="AQ19" s="6"/>
      <c r="AR19" s="6"/>
      <c r="AS19" s="6"/>
      <c r="AT19" s="6"/>
      <c r="AU19" s="6"/>
      <c r="AV19" s="6"/>
      <c r="AY19" s="39"/>
      <c r="AZ19" s="39"/>
      <c r="BA19" s="39"/>
    </row>
    <row r="20" spans="1:53" s="27" customFormat="1" ht="22.5" customHeight="1" thickTop="1" thickBot="1" x14ac:dyDescent="0.3">
      <c r="A20" s="19"/>
      <c r="B20" s="19"/>
      <c r="C20" s="35" t="s">
        <v>19</v>
      </c>
      <c r="D20" s="36"/>
      <c r="E20" s="36"/>
      <c r="F20" s="157">
        <f t="shared" ref="F20:S20" si="56">F19+F18+F17</f>
        <v>59630.757640777054</v>
      </c>
      <c r="G20" s="158">
        <f t="shared" si="56"/>
        <v>59524.006983411833</v>
      </c>
      <c r="H20" s="159">
        <f t="shared" si="56"/>
        <v>60262.742999367678</v>
      </c>
      <c r="I20" s="160">
        <f t="shared" si="56"/>
        <v>59881.840312314875</v>
      </c>
      <c r="J20" s="157">
        <f t="shared" si="56"/>
        <v>59848.776465372779</v>
      </c>
      <c r="K20" s="158">
        <f t="shared" si="56"/>
        <v>60605.67576238011</v>
      </c>
      <c r="L20" s="159">
        <f t="shared" si="56"/>
        <v>61180.90856662544</v>
      </c>
      <c r="M20" s="160">
        <f t="shared" si="56"/>
        <v>60710.589217582215</v>
      </c>
      <c r="N20" s="157">
        <f t="shared" si="56"/>
        <v>60850.589217582215</v>
      </c>
      <c r="O20" s="158">
        <f t="shared" si="56"/>
        <v>60780.589217582215</v>
      </c>
      <c r="P20" s="159">
        <f t="shared" si="56"/>
        <v>61085.589217582215</v>
      </c>
      <c r="Q20" s="160">
        <f t="shared" si="56"/>
        <v>60933.089217582215</v>
      </c>
      <c r="R20" s="157">
        <f t="shared" si="56"/>
        <v>60933.089217582215</v>
      </c>
      <c r="S20" s="158">
        <f t="shared" si="56"/>
        <v>60933.089217582215</v>
      </c>
      <c r="T20" s="159">
        <f t="shared" ref="T20:AA20" si="57">T19+T18+T17</f>
        <v>60933.089217582215</v>
      </c>
      <c r="U20" s="160">
        <f t="shared" si="57"/>
        <v>60933.089217582215</v>
      </c>
      <c r="V20" s="157">
        <f t="shared" si="57"/>
        <v>61238.089217582215</v>
      </c>
      <c r="W20" s="158">
        <f t="shared" si="57"/>
        <v>61085.589217582215</v>
      </c>
      <c r="X20" s="159">
        <f t="shared" si="57"/>
        <v>61085.589217582215</v>
      </c>
      <c r="Y20" s="160">
        <f t="shared" si="57"/>
        <v>61085.589217582215</v>
      </c>
      <c r="Z20" s="157">
        <f t="shared" si="57"/>
        <v>61085.589217582215</v>
      </c>
      <c r="AA20" s="158">
        <f t="shared" si="57"/>
        <v>61085.589217582215</v>
      </c>
      <c r="AB20" s="159">
        <f t="shared" ref="AB20:AE20" si="58">AB19+AB18+AB17</f>
        <v>61085.589217582215</v>
      </c>
      <c r="AC20" s="160">
        <f t="shared" si="58"/>
        <v>61085.589217582215</v>
      </c>
      <c r="AD20" s="157">
        <f t="shared" si="58"/>
        <v>61085.589217582215</v>
      </c>
      <c r="AE20" s="158">
        <f t="shared" si="58"/>
        <v>61085.589217582215</v>
      </c>
      <c r="AF20" s="84"/>
      <c r="AG20" s="84"/>
      <c r="AH20" s="6"/>
      <c r="AI20" s="33"/>
      <c r="AJ20" s="34"/>
      <c r="AK20" s="31"/>
      <c r="AL20" s="31"/>
      <c r="AM20" s="31"/>
      <c r="AN20" s="6"/>
      <c r="AO20" s="6"/>
      <c r="AP20" s="6"/>
      <c r="AQ20" s="6"/>
      <c r="AR20" s="6"/>
      <c r="AS20" s="6"/>
      <c r="AT20" s="6"/>
      <c r="AU20" s="6"/>
    </row>
    <row r="21" spans="1:53" s="27" customFormat="1" ht="22.5" customHeight="1" thickTop="1" thickBot="1" x14ac:dyDescent="0.3">
      <c r="A21" s="19"/>
      <c r="B21" s="37"/>
      <c r="C21" s="13"/>
      <c r="D21" s="6"/>
      <c r="E21" s="36"/>
      <c r="F21" s="6"/>
      <c r="G21" s="84"/>
      <c r="H21" s="84"/>
      <c r="I21" s="84"/>
      <c r="J21" s="84"/>
      <c r="K21" s="84"/>
      <c r="L21" s="84"/>
      <c r="M21" s="84"/>
      <c r="N21" s="84"/>
      <c r="O21" s="84"/>
      <c r="P21" s="84"/>
      <c r="Q21" s="84"/>
      <c r="R21" s="84"/>
      <c r="T21" s="84"/>
      <c r="U21" s="84"/>
      <c r="V21" s="84"/>
      <c r="W21" s="84"/>
      <c r="X21" s="84"/>
      <c r="Y21" s="84"/>
      <c r="Z21" s="84"/>
      <c r="AB21" s="84"/>
      <c r="AC21" s="84"/>
      <c r="AD21" s="84"/>
      <c r="AE21" s="84"/>
      <c r="AF21" s="84"/>
      <c r="AG21" s="84"/>
      <c r="AH21" s="6"/>
      <c r="AI21" s="33"/>
      <c r="AK21" s="31"/>
      <c r="AL21" s="31"/>
      <c r="AM21" s="31"/>
      <c r="AN21" s="6"/>
      <c r="AO21" s="6"/>
      <c r="AP21" s="6"/>
      <c r="AQ21" s="6"/>
      <c r="AR21" s="6"/>
    </row>
    <row r="22" spans="1:53" s="27" customFormat="1" ht="18.75" customHeight="1" thickTop="1" thickBot="1" x14ac:dyDescent="0.3">
      <c r="A22" s="19"/>
      <c r="B22" s="37"/>
      <c r="C22" s="38" t="s">
        <v>20</v>
      </c>
      <c r="D22" s="6"/>
      <c r="E22" s="36"/>
      <c r="F22" s="32"/>
      <c r="G22" s="133"/>
      <c r="H22" s="141">
        <f t="shared" ref="H22:U22" si="59">F15*$AM$28</f>
        <v>657.30880929332034</v>
      </c>
      <c r="I22" s="149">
        <f t="shared" si="59"/>
        <v>657.30880929332034</v>
      </c>
      <c r="J22" s="32">
        <f t="shared" si="59"/>
        <v>657.30880929332034</v>
      </c>
      <c r="K22" s="133">
        <f t="shared" si="59"/>
        <v>657.30880929332034</v>
      </c>
      <c r="L22" s="141">
        <f t="shared" si="59"/>
        <v>657.30880929332034</v>
      </c>
      <c r="M22" s="149">
        <f t="shared" si="59"/>
        <v>657.30880929332034</v>
      </c>
      <c r="N22" s="32">
        <f t="shared" si="59"/>
        <v>657.30880929332034</v>
      </c>
      <c r="O22" s="133">
        <f t="shared" si="59"/>
        <v>657.30880929332034</v>
      </c>
      <c r="P22" s="141">
        <f t="shared" si="59"/>
        <v>657.30880929332034</v>
      </c>
      <c r="Q22" s="149">
        <f t="shared" si="59"/>
        <v>657.30880929332034</v>
      </c>
      <c r="R22" s="32">
        <f t="shared" si="59"/>
        <v>657.30880929332034</v>
      </c>
      <c r="S22" s="133">
        <f t="shared" si="59"/>
        <v>657.30880929332034</v>
      </c>
      <c r="T22" s="141">
        <f t="shared" si="59"/>
        <v>657.30880929332034</v>
      </c>
      <c r="U22" s="149">
        <f t="shared" si="59"/>
        <v>657.30880929332034</v>
      </c>
      <c r="V22" s="32">
        <f t="shared" ref="V22:AE22" si="60">T15*$AS$28</f>
        <v>657.30880929332034</v>
      </c>
      <c r="W22" s="133">
        <f t="shared" si="60"/>
        <v>657.30880929332034</v>
      </c>
      <c r="X22" s="141">
        <f t="shared" si="60"/>
        <v>657.30880929332034</v>
      </c>
      <c r="Y22" s="149">
        <f t="shared" si="60"/>
        <v>657.30880929332034</v>
      </c>
      <c r="Z22" s="32">
        <f t="shared" si="60"/>
        <v>657.30880929332034</v>
      </c>
      <c r="AA22" s="133">
        <f t="shared" si="60"/>
        <v>657.30880929332034</v>
      </c>
      <c r="AB22" s="141">
        <f t="shared" si="60"/>
        <v>657.30880929332034</v>
      </c>
      <c r="AC22" s="149">
        <f t="shared" si="60"/>
        <v>657.30880929332034</v>
      </c>
      <c r="AD22" s="32">
        <f t="shared" si="60"/>
        <v>657.30880929332034</v>
      </c>
      <c r="AE22" s="133">
        <f t="shared" si="60"/>
        <v>657.30880929332034</v>
      </c>
      <c r="AF22" s="84"/>
      <c r="AG22" s="84"/>
      <c r="AH22" s="6"/>
      <c r="AI22" s="26"/>
      <c r="AJ22" s="13"/>
      <c r="AK22" s="6"/>
      <c r="AL22" s="6"/>
      <c r="AM22" s="6"/>
      <c r="AN22" s="6"/>
      <c r="AO22" s="6"/>
      <c r="AP22" s="39"/>
      <c r="AQ22" s="40"/>
      <c r="AR22" s="39"/>
      <c r="AS22" s="40"/>
      <c r="AT22" s="39"/>
      <c r="AU22" s="39"/>
      <c r="AV22" s="39"/>
    </row>
    <row r="23" spans="1:53" s="27" customFormat="1" ht="18.75" customHeight="1" thickTop="1" thickBot="1" x14ac:dyDescent="0.3">
      <c r="A23" s="19"/>
      <c r="C23" s="38" t="s">
        <v>21</v>
      </c>
      <c r="D23" s="6"/>
      <c r="E23" s="36"/>
      <c r="F23" s="32"/>
      <c r="G23" s="133"/>
      <c r="H23" s="141">
        <f t="shared" ref="H23:O23" si="61">IF(G15&lt;$AJ$53,0,IF(G15&lt;$AJ$54,$AM$53,IF(G15&lt;$AJ$55,$AM$54,$AM$55)))</f>
        <v>1255</v>
      </c>
      <c r="I23" s="149">
        <f t="shared" si="61"/>
        <v>1255</v>
      </c>
      <c r="J23" s="32">
        <f t="shared" si="61"/>
        <v>1255</v>
      </c>
      <c r="K23" s="133">
        <f t="shared" si="61"/>
        <v>1255</v>
      </c>
      <c r="L23" s="141">
        <f t="shared" si="61"/>
        <v>1255</v>
      </c>
      <c r="M23" s="149">
        <f t="shared" si="61"/>
        <v>1255</v>
      </c>
      <c r="N23" s="32">
        <f t="shared" si="61"/>
        <v>1255</v>
      </c>
      <c r="O23" s="133">
        <f t="shared" si="61"/>
        <v>1255</v>
      </c>
      <c r="P23" s="141">
        <f t="shared" ref="P23:U23" si="62">IF(O15&lt;$AP$53,0,IF(O15&lt;$AP$54,$AS$53,IF(O15&lt;$AP$55,$AS$54,$AS$55)))</f>
        <v>627.5</v>
      </c>
      <c r="Q23" s="149">
        <f t="shared" si="62"/>
        <v>627.5</v>
      </c>
      <c r="R23" s="32">
        <f t="shared" si="62"/>
        <v>627.5</v>
      </c>
      <c r="S23" s="133">
        <f t="shared" si="62"/>
        <v>627.5</v>
      </c>
      <c r="T23" s="141">
        <f t="shared" si="62"/>
        <v>627.5</v>
      </c>
      <c r="U23" s="149">
        <f t="shared" si="62"/>
        <v>627.5</v>
      </c>
      <c r="V23" s="32">
        <v>0</v>
      </c>
      <c r="W23" s="133">
        <v>0</v>
      </c>
      <c r="X23" s="141">
        <v>0</v>
      </c>
      <c r="Y23" s="149">
        <v>0</v>
      </c>
      <c r="Z23" s="32">
        <v>0</v>
      </c>
      <c r="AA23" s="133">
        <v>0</v>
      </c>
      <c r="AB23" s="141">
        <v>0</v>
      </c>
      <c r="AC23" s="149">
        <v>0</v>
      </c>
      <c r="AD23" s="32">
        <v>0</v>
      </c>
      <c r="AE23" s="133">
        <v>0</v>
      </c>
      <c r="AF23" s="84"/>
      <c r="AG23" s="84"/>
      <c r="AH23" s="6"/>
      <c r="AI23" s="6"/>
      <c r="AJ23" s="6"/>
      <c r="AK23" s="6"/>
      <c r="AL23" s="13"/>
      <c r="AM23" s="64"/>
      <c r="AN23" s="6"/>
      <c r="AR23" s="39"/>
      <c r="AS23" s="39"/>
      <c r="AT23" s="39"/>
      <c r="AU23" s="39"/>
      <c r="AV23" s="39"/>
    </row>
    <row r="24" spans="1:53" s="27" customFormat="1" ht="18.75" customHeight="1" thickTop="1" thickBot="1" x14ac:dyDescent="0.3">
      <c r="A24" s="19"/>
      <c r="B24" s="37"/>
      <c r="C24" s="38" t="s">
        <v>6</v>
      </c>
      <c r="D24" s="6"/>
      <c r="E24" s="36"/>
      <c r="F24" s="32"/>
      <c r="G24" s="133"/>
      <c r="H24" s="141">
        <f t="shared" ref="H24:M24" si="63">F15*$AM$29</f>
        <v>8820</v>
      </c>
      <c r="I24" s="149">
        <f t="shared" si="63"/>
        <v>8820</v>
      </c>
      <c r="J24" s="32">
        <f t="shared" si="63"/>
        <v>8820</v>
      </c>
      <c r="K24" s="133">
        <f t="shared" si="63"/>
        <v>8820</v>
      </c>
      <c r="L24" s="141">
        <f t="shared" si="63"/>
        <v>8820</v>
      </c>
      <c r="M24" s="149">
        <f t="shared" si="63"/>
        <v>8820</v>
      </c>
      <c r="N24" s="32">
        <f t="shared" ref="N24:U24" si="64">L15*$AM$30</f>
        <v>8890</v>
      </c>
      <c r="O24" s="133">
        <f t="shared" si="64"/>
        <v>8890</v>
      </c>
      <c r="P24" s="141">
        <f t="shared" si="64"/>
        <v>8890</v>
      </c>
      <c r="Q24" s="149">
        <f t="shared" si="64"/>
        <v>8890</v>
      </c>
      <c r="R24" s="32">
        <f t="shared" si="64"/>
        <v>8890</v>
      </c>
      <c r="S24" s="133">
        <f t="shared" si="64"/>
        <v>8890</v>
      </c>
      <c r="T24" s="141">
        <f t="shared" si="64"/>
        <v>8890</v>
      </c>
      <c r="U24" s="149">
        <f t="shared" si="64"/>
        <v>8890</v>
      </c>
      <c r="V24" s="32">
        <f t="shared" ref="V24:AE24" si="65">T15*$AS$29</f>
        <v>8890</v>
      </c>
      <c r="W24" s="133">
        <f t="shared" si="65"/>
        <v>8890</v>
      </c>
      <c r="X24" s="141">
        <f t="shared" si="65"/>
        <v>8890</v>
      </c>
      <c r="Y24" s="149">
        <f t="shared" si="65"/>
        <v>8890</v>
      </c>
      <c r="Z24" s="32">
        <f t="shared" si="65"/>
        <v>8890</v>
      </c>
      <c r="AA24" s="133">
        <f t="shared" si="65"/>
        <v>8890</v>
      </c>
      <c r="AB24" s="141">
        <f t="shared" si="65"/>
        <v>8890</v>
      </c>
      <c r="AC24" s="149">
        <f t="shared" si="65"/>
        <v>8890</v>
      </c>
      <c r="AD24" s="32">
        <f t="shared" si="65"/>
        <v>8890</v>
      </c>
      <c r="AE24" s="133">
        <f t="shared" si="65"/>
        <v>8890</v>
      </c>
      <c r="AF24" s="84"/>
      <c r="AG24" s="84"/>
      <c r="AH24" s="6"/>
      <c r="AI24" s="62" t="s">
        <v>43</v>
      </c>
      <c r="AJ24" s="57"/>
      <c r="AK24" s="57"/>
      <c r="AL24" s="56" t="s">
        <v>44</v>
      </c>
      <c r="AM24" s="60">
        <v>800000000</v>
      </c>
      <c r="AN24" s="6"/>
      <c r="AO24" s="62" t="s">
        <v>59</v>
      </c>
      <c r="AP24" s="57"/>
      <c r="AQ24" s="57"/>
      <c r="AR24" s="56" t="s">
        <v>60</v>
      </c>
      <c r="AS24" s="60">
        <v>800000000</v>
      </c>
      <c r="AT24" s="39"/>
      <c r="AU24" s="39"/>
      <c r="AV24" s="39"/>
    </row>
    <row r="25" spans="1:53" s="27" customFormat="1" ht="18.75" customHeight="1" thickTop="1" thickBot="1" x14ac:dyDescent="0.3">
      <c r="A25" s="19"/>
      <c r="B25" s="37"/>
      <c r="C25" s="38" t="s">
        <v>95</v>
      </c>
      <c r="D25" s="6"/>
      <c r="E25" s="36"/>
      <c r="F25" s="32"/>
      <c r="G25" s="133"/>
      <c r="H25" s="141">
        <v>0</v>
      </c>
      <c r="I25" s="149">
        <v>0</v>
      </c>
      <c r="J25" s="32">
        <v>0</v>
      </c>
      <c r="K25" s="133">
        <v>0</v>
      </c>
      <c r="L25" s="141">
        <v>0</v>
      </c>
      <c r="M25" s="149">
        <v>0</v>
      </c>
      <c r="N25" s="32">
        <v>0</v>
      </c>
      <c r="O25" s="133">
        <f>AM58</f>
        <v>4480</v>
      </c>
      <c r="P25" s="141">
        <v>0</v>
      </c>
      <c r="Q25" s="149">
        <v>0</v>
      </c>
      <c r="R25" s="32">
        <v>0</v>
      </c>
      <c r="S25" s="133">
        <f>AM59</f>
        <v>1920</v>
      </c>
      <c r="T25" s="141">
        <v>0</v>
      </c>
      <c r="U25" s="149">
        <v>0</v>
      </c>
      <c r="V25" s="32">
        <v>0</v>
      </c>
      <c r="W25" s="133">
        <v>0</v>
      </c>
      <c r="X25" s="141">
        <f>AM61</f>
        <v>3200</v>
      </c>
      <c r="Y25" s="149">
        <v>0</v>
      </c>
      <c r="Z25" s="32">
        <v>0</v>
      </c>
      <c r="AA25" s="133">
        <v>0</v>
      </c>
      <c r="AB25" s="141">
        <v>0</v>
      </c>
      <c r="AC25" s="149">
        <v>0</v>
      </c>
      <c r="AD25" s="32">
        <f>AM62</f>
        <v>3200</v>
      </c>
      <c r="AE25" s="133">
        <v>0</v>
      </c>
      <c r="AF25" s="84"/>
      <c r="AG25" s="84"/>
      <c r="AH25" s="6"/>
      <c r="AI25" s="62"/>
      <c r="AJ25" s="57"/>
      <c r="AK25" s="57"/>
      <c r="AL25" s="56" t="s">
        <v>45</v>
      </c>
      <c r="AM25" s="103">
        <v>1033000000</v>
      </c>
      <c r="AN25" s="6"/>
      <c r="AO25" s="62"/>
      <c r="AP25" s="57"/>
      <c r="AQ25" s="57"/>
      <c r="AR25" s="56" t="s">
        <v>61</v>
      </c>
      <c r="AS25" s="103">
        <v>1033000000</v>
      </c>
      <c r="AT25" s="39"/>
      <c r="AU25" s="39"/>
      <c r="AV25" s="39"/>
    </row>
    <row r="26" spans="1:53" s="27" customFormat="1" ht="18.75" customHeight="1" thickTop="1" thickBot="1" x14ac:dyDescent="0.3">
      <c r="A26" s="19"/>
      <c r="B26" s="37"/>
      <c r="C26" s="38" t="s">
        <v>68</v>
      </c>
      <c r="D26" s="6"/>
      <c r="E26" s="36"/>
      <c r="F26" s="32"/>
      <c r="G26" s="133"/>
      <c r="H26" s="141"/>
      <c r="I26" s="149"/>
      <c r="J26" s="32"/>
      <c r="K26" s="133"/>
      <c r="L26" s="141"/>
      <c r="M26" s="149"/>
      <c r="N26" s="32"/>
      <c r="O26" s="133"/>
      <c r="P26" s="141">
        <f t="shared" ref="P26:U26" si="66">IF(N16&lt;$AI$37,$AK$36,IF(N16&lt;$AI$38,$AK$37,IF(N16&lt;$AI$39,$AK$38,$AK$39)))</f>
        <v>780</v>
      </c>
      <c r="Q26" s="149">
        <f t="shared" si="66"/>
        <v>780</v>
      </c>
      <c r="R26" s="32">
        <f t="shared" si="66"/>
        <v>780</v>
      </c>
      <c r="S26" s="133">
        <f t="shared" si="66"/>
        <v>780</v>
      </c>
      <c r="T26" s="141">
        <f t="shared" si="66"/>
        <v>780</v>
      </c>
      <c r="U26" s="149">
        <f t="shared" si="66"/>
        <v>780</v>
      </c>
      <c r="V26" s="32">
        <f>IF(T16&lt;$AI$45,$AK$44,IF(T16&lt;$AI$46,$AK$45,IF(T16&lt;$AI$47,$AK$46,$AK$47)))</f>
        <v>1560</v>
      </c>
      <c r="W26" s="133">
        <f t="shared" ref="W26:AE26" si="67">IF(U16&lt;$AI$45,$AK$44,IF(U16&lt;$AI$46,$AK$45,IF(U16&lt;$AI$47,$AK$46,$AK$47)))</f>
        <v>1560</v>
      </c>
      <c r="X26" s="141">
        <f t="shared" si="67"/>
        <v>1560</v>
      </c>
      <c r="Y26" s="149">
        <f t="shared" si="67"/>
        <v>1560</v>
      </c>
      <c r="Z26" s="32">
        <f t="shared" si="67"/>
        <v>1560</v>
      </c>
      <c r="AA26" s="133">
        <f t="shared" si="67"/>
        <v>1560</v>
      </c>
      <c r="AB26" s="141">
        <f t="shared" si="67"/>
        <v>1560</v>
      </c>
      <c r="AC26" s="149">
        <f t="shared" si="67"/>
        <v>1560</v>
      </c>
      <c r="AD26" s="32">
        <f t="shared" si="67"/>
        <v>1560</v>
      </c>
      <c r="AE26" s="133">
        <f t="shared" si="67"/>
        <v>1560</v>
      </c>
      <c r="AF26" s="84"/>
      <c r="AG26" s="84"/>
      <c r="AH26" s="6"/>
      <c r="AI26" s="57"/>
      <c r="AJ26" s="57"/>
      <c r="AK26" s="57"/>
      <c r="AL26" s="58" t="s">
        <v>27</v>
      </c>
      <c r="AM26" s="59">
        <f>AM24/AM25</f>
        <v>0.77444336882865439</v>
      </c>
      <c r="AN26" s="6"/>
      <c r="AO26" s="57"/>
      <c r="AP26" s="57"/>
      <c r="AQ26" s="57"/>
      <c r="AR26" s="58" t="s">
        <v>27</v>
      </c>
      <c r="AS26" s="59">
        <f>AS24/AS25</f>
        <v>0.77444336882865439</v>
      </c>
      <c r="AT26" s="39"/>
      <c r="AU26" s="43"/>
      <c r="AV26" s="39"/>
    </row>
    <row r="27" spans="1:53" ht="16.5" thickTop="1" thickBot="1" x14ac:dyDescent="0.3">
      <c r="A27" s="19"/>
      <c r="B27" s="37"/>
      <c r="C27" s="38"/>
      <c r="E27" s="36"/>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84"/>
      <c r="AG27" s="84"/>
      <c r="AH27" s="44"/>
      <c r="AI27" s="57"/>
      <c r="AJ27" s="57"/>
      <c r="AK27" s="57"/>
      <c r="AL27" s="58" t="s">
        <v>46</v>
      </c>
      <c r="AM27" s="81">
        <v>97000000</v>
      </c>
      <c r="AN27" s="27"/>
      <c r="AO27" s="57"/>
      <c r="AP27" s="57"/>
      <c r="AQ27" s="57"/>
      <c r="AR27" s="58" t="s">
        <v>62</v>
      </c>
      <c r="AS27" s="104">
        <v>97000000</v>
      </c>
      <c r="AT27" s="41"/>
      <c r="AU27" s="42"/>
      <c r="AV27" s="39"/>
    </row>
    <row r="28" spans="1:53" ht="16.5" thickTop="1" thickBot="1" x14ac:dyDescent="0.3">
      <c r="A28" s="19"/>
      <c r="B28" s="37"/>
      <c r="C28" s="38" t="s">
        <v>73</v>
      </c>
      <c r="E28" s="120"/>
      <c r="F28" s="122">
        <v>32</v>
      </c>
      <c r="G28" s="134">
        <v>32</v>
      </c>
      <c r="H28" s="142">
        <v>32</v>
      </c>
      <c r="I28" s="150">
        <v>32</v>
      </c>
      <c r="J28" s="122">
        <v>32</v>
      </c>
      <c r="K28" s="134">
        <v>32</v>
      </c>
      <c r="L28" s="142">
        <v>32</v>
      </c>
      <c r="M28" s="150">
        <v>32</v>
      </c>
      <c r="N28" s="122">
        <v>32</v>
      </c>
      <c r="O28" s="134">
        <v>32</v>
      </c>
      <c r="P28" s="142">
        <v>9</v>
      </c>
      <c r="Q28" s="150">
        <v>9</v>
      </c>
      <c r="R28" s="122">
        <v>9</v>
      </c>
      <c r="S28" s="134">
        <v>9</v>
      </c>
      <c r="T28" s="142">
        <v>9</v>
      </c>
      <c r="U28" s="150">
        <v>9</v>
      </c>
      <c r="V28" s="122">
        <v>8</v>
      </c>
      <c r="W28" s="134">
        <v>8</v>
      </c>
      <c r="X28" s="142">
        <v>8</v>
      </c>
      <c r="Y28" s="150">
        <v>8</v>
      </c>
      <c r="Z28" s="122">
        <v>8</v>
      </c>
      <c r="AA28" s="134">
        <v>8</v>
      </c>
      <c r="AB28" s="142">
        <v>8</v>
      </c>
      <c r="AC28" s="150">
        <v>8</v>
      </c>
      <c r="AD28" s="122">
        <v>8</v>
      </c>
      <c r="AE28" s="134">
        <v>8</v>
      </c>
      <c r="AF28" s="84"/>
      <c r="AG28" s="84"/>
      <c r="AH28" s="44"/>
      <c r="AI28" s="57"/>
      <c r="AJ28" s="57"/>
      <c r="AK28" s="57"/>
      <c r="AL28" s="58" t="s">
        <v>47</v>
      </c>
      <c r="AM28" s="61">
        <f>AM27/AM25</f>
        <v>9.3901258470474341E-2</v>
      </c>
      <c r="AN28" s="27"/>
      <c r="AO28" s="57"/>
      <c r="AP28" s="57"/>
      <c r="AQ28" s="57"/>
      <c r="AR28" s="58" t="s">
        <v>63</v>
      </c>
      <c r="AS28" s="61">
        <f>AS27/AS25</f>
        <v>9.3901258470474341E-2</v>
      </c>
      <c r="AT28" s="41"/>
      <c r="AU28" s="42"/>
      <c r="AV28" s="39"/>
    </row>
    <row r="29" spans="1:53" ht="16.5" thickTop="1" thickBot="1" x14ac:dyDescent="0.3">
      <c r="A29" s="19"/>
      <c r="B29" s="37"/>
      <c r="C29" s="38" t="s">
        <v>74</v>
      </c>
      <c r="E29" s="120"/>
      <c r="F29" s="122">
        <v>7</v>
      </c>
      <c r="G29" s="134">
        <v>7</v>
      </c>
      <c r="H29" s="142">
        <v>7</v>
      </c>
      <c r="I29" s="150">
        <v>7</v>
      </c>
      <c r="J29" s="122">
        <v>7</v>
      </c>
      <c r="K29" s="134">
        <v>7</v>
      </c>
      <c r="L29" s="142">
        <v>7</v>
      </c>
      <c r="M29" s="150">
        <v>7</v>
      </c>
      <c r="N29" s="122">
        <v>7</v>
      </c>
      <c r="O29" s="134">
        <v>7</v>
      </c>
      <c r="P29" s="142">
        <v>7</v>
      </c>
      <c r="Q29" s="150">
        <v>7</v>
      </c>
      <c r="R29" s="122">
        <v>7</v>
      </c>
      <c r="S29" s="134">
        <v>7</v>
      </c>
      <c r="T29" s="142">
        <v>7</v>
      </c>
      <c r="U29" s="150">
        <v>7</v>
      </c>
      <c r="V29" s="122">
        <v>7</v>
      </c>
      <c r="W29" s="134">
        <v>7</v>
      </c>
      <c r="X29" s="142">
        <v>7</v>
      </c>
      <c r="Y29" s="150">
        <v>7</v>
      </c>
      <c r="Z29" s="122">
        <v>7</v>
      </c>
      <c r="AA29" s="134">
        <v>7</v>
      </c>
      <c r="AB29" s="142">
        <v>7</v>
      </c>
      <c r="AC29" s="150">
        <v>7</v>
      </c>
      <c r="AD29" s="122">
        <v>7</v>
      </c>
      <c r="AE29" s="134">
        <v>7</v>
      </c>
      <c r="AF29" s="84"/>
      <c r="AG29" s="84"/>
      <c r="AH29" s="44"/>
      <c r="AI29" s="71"/>
      <c r="AJ29" s="71"/>
      <c r="AK29" s="71"/>
      <c r="AL29" s="72" t="s">
        <v>83</v>
      </c>
      <c r="AM29" s="73">
        <v>1.26</v>
      </c>
      <c r="AN29" s="27"/>
      <c r="AO29" s="71"/>
      <c r="AP29" s="71"/>
      <c r="AQ29" s="71"/>
      <c r="AR29" s="72" t="s">
        <v>64</v>
      </c>
      <c r="AS29" s="73">
        <v>1.27</v>
      </c>
      <c r="AT29" s="41"/>
      <c r="AU29" s="42"/>
      <c r="AV29" s="39"/>
    </row>
    <row r="30" spans="1:53" ht="16.5" thickTop="1" thickBot="1" x14ac:dyDescent="0.3">
      <c r="A30" s="19"/>
      <c r="B30" s="37"/>
      <c r="C30" s="38" t="s">
        <v>75</v>
      </c>
      <c r="E30" s="120"/>
      <c r="F30" s="122">
        <v>0</v>
      </c>
      <c r="G30" s="134">
        <v>0</v>
      </c>
      <c r="H30" s="142">
        <v>0</v>
      </c>
      <c r="I30" s="150">
        <v>0</v>
      </c>
      <c r="J30" s="122">
        <v>0</v>
      </c>
      <c r="K30" s="134">
        <v>0</v>
      </c>
      <c r="L30" s="142">
        <v>0</v>
      </c>
      <c r="M30" s="150">
        <v>0</v>
      </c>
      <c r="N30" s="122">
        <v>4</v>
      </c>
      <c r="O30" s="134">
        <v>4</v>
      </c>
      <c r="P30" s="142">
        <v>4</v>
      </c>
      <c r="Q30" s="150">
        <v>4</v>
      </c>
      <c r="R30" s="122">
        <v>4</v>
      </c>
      <c r="S30" s="134">
        <v>4</v>
      </c>
      <c r="T30" s="142">
        <v>4</v>
      </c>
      <c r="U30" s="150">
        <v>4</v>
      </c>
      <c r="V30" s="122">
        <v>5</v>
      </c>
      <c r="W30" s="134">
        <v>5</v>
      </c>
      <c r="X30" s="142">
        <v>5</v>
      </c>
      <c r="Y30" s="150">
        <v>5</v>
      </c>
      <c r="Z30" s="122">
        <v>5</v>
      </c>
      <c r="AA30" s="134">
        <v>5</v>
      </c>
      <c r="AB30" s="142">
        <v>5</v>
      </c>
      <c r="AC30" s="150">
        <v>5</v>
      </c>
      <c r="AD30" s="122">
        <v>5</v>
      </c>
      <c r="AE30" s="134">
        <v>5</v>
      </c>
      <c r="AF30" s="84"/>
      <c r="AG30" s="84"/>
      <c r="AH30" s="44"/>
      <c r="AI30" s="71"/>
      <c r="AJ30" s="71"/>
      <c r="AK30" s="71"/>
      <c r="AL30" s="72" t="s">
        <v>84</v>
      </c>
      <c r="AM30" s="73">
        <v>1.27</v>
      </c>
      <c r="AN30" s="27"/>
      <c r="AO30" s="27"/>
      <c r="AP30" s="41"/>
      <c r="AQ30" s="42"/>
      <c r="AR30" s="39"/>
      <c r="AS30" s="39"/>
      <c r="AT30" s="41"/>
      <c r="AU30" s="42"/>
      <c r="AV30" s="39"/>
      <c r="AY30" s="43"/>
    </row>
    <row r="31" spans="1:53" ht="16.5" thickTop="1" thickBot="1" x14ac:dyDescent="0.3">
      <c r="A31" s="19"/>
      <c r="B31" s="37"/>
      <c r="C31" s="38" t="s">
        <v>70</v>
      </c>
      <c r="E31" s="36"/>
      <c r="F31" s="121">
        <f>F28*28</f>
        <v>896</v>
      </c>
      <c r="G31" s="135">
        <f t="shared" ref="G31:AE31" si="68">G28*28</f>
        <v>896</v>
      </c>
      <c r="H31" s="143">
        <f t="shared" si="68"/>
        <v>896</v>
      </c>
      <c r="I31" s="151">
        <f t="shared" si="68"/>
        <v>896</v>
      </c>
      <c r="J31" s="121">
        <f t="shared" si="68"/>
        <v>896</v>
      </c>
      <c r="K31" s="135">
        <f t="shared" si="68"/>
        <v>896</v>
      </c>
      <c r="L31" s="143">
        <f t="shared" si="68"/>
        <v>896</v>
      </c>
      <c r="M31" s="151">
        <f t="shared" si="68"/>
        <v>896</v>
      </c>
      <c r="N31" s="121">
        <f t="shared" si="68"/>
        <v>896</v>
      </c>
      <c r="O31" s="135">
        <f t="shared" si="68"/>
        <v>896</v>
      </c>
      <c r="P31" s="143">
        <f t="shared" si="68"/>
        <v>252</v>
      </c>
      <c r="Q31" s="151">
        <f t="shared" si="68"/>
        <v>252</v>
      </c>
      <c r="R31" s="121">
        <f t="shared" si="68"/>
        <v>252</v>
      </c>
      <c r="S31" s="135">
        <f t="shared" si="68"/>
        <v>252</v>
      </c>
      <c r="T31" s="143">
        <f t="shared" si="68"/>
        <v>252</v>
      </c>
      <c r="U31" s="151">
        <f t="shared" si="68"/>
        <v>252</v>
      </c>
      <c r="V31" s="121">
        <f t="shared" si="68"/>
        <v>224</v>
      </c>
      <c r="W31" s="135">
        <f t="shared" si="68"/>
        <v>224</v>
      </c>
      <c r="X31" s="143">
        <f t="shared" si="68"/>
        <v>224</v>
      </c>
      <c r="Y31" s="151">
        <f t="shared" si="68"/>
        <v>224</v>
      </c>
      <c r="Z31" s="121">
        <f t="shared" si="68"/>
        <v>224</v>
      </c>
      <c r="AA31" s="135">
        <f t="shared" si="68"/>
        <v>224</v>
      </c>
      <c r="AB31" s="143">
        <f t="shared" si="68"/>
        <v>224</v>
      </c>
      <c r="AC31" s="151">
        <f t="shared" si="68"/>
        <v>224</v>
      </c>
      <c r="AD31" s="121">
        <f t="shared" si="68"/>
        <v>224</v>
      </c>
      <c r="AE31" s="135">
        <f t="shared" si="68"/>
        <v>224</v>
      </c>
      <c r="AF31" s="84"/>
      <c r="AG31" s="84"/>
      <c r="AH31" s="44"/>
      <c r="AL31" s="13"/>
      <c r="AM31" s="64"/>
      <c r="AN31" s="27"/>
      <c r="AO31" s="27"/>
      <c r="AP31" s="41"/>
      <c r="AQ31" s="42"/>
      <c r="AR31" s="39"/>
      <c r="AS31" s="39"/>
      <c r="AT31" s="41"/>
      <c r="AU31" s="42"/>
      <c r="AV31" s="39"/>
      <c r="AY31" s="43"/>
    </row>
    <row r="32" spans="1:53" ht="16.5" hidden="1" thickTop="1" thickBot="1" x14ac:dyDescent="0.3">
      <c r="A32" s="19"/>
      <c r="B32" s="37"/>
      <c r="C32" s="38" t="s">
        <v>82</v>
      </c>
      <c r="E32" s="36"/>
      <c r="F32" s="126">
        <f>IF(E16&lt;1501,1,ROUND((E16-1)/1000,0))</f>
        <v>7</v>
      </c>
      <c r="G32" s="136">
        <f>IF(E16&lt;1501,1,ROUND((E16-1)/1000,0))</f>
        <v>7</v>
      </c>
      <c r="H32" s="144">
        <f>IF(F16&lt;1501,1,ROUND((F16-1)/1000,0))</f>
        <v>7</v>
      </c>
      <c r="I32" s="152">
        <f t="shared" ref="I32:AE32" si="69">IF(G16&lt;1501,1,ROUND((G16-1)/1000,0))</f>
        <v>7</v>
      </c>
      <c r="J32" s="127">
        <f t="shared" si="69"/>
        <v>7</v>
      </c>
      <c r="K32" s="136">
        <f t="shared" si="69"/>
        <v>7</v>
      </c>
      <c r="L32" s="144">
        <f t="shared" si="69"/>
        <v>7</v>
      </c>
      <c r="M32" s="152">
        <f t="shared" si="69"/>
        <v>7</v>
      </c>
      <c r="N32" s="127">
        <f t="shared" si="69"/>
        <v>7</v>
      </c>
      <c r="O32" s="136">
        <f t="shared" si="69"/>
        <v>7</v>
      </c>
      <c r="P32" s="144">
        <f t="shared" si="69"/>
        <v>7</v>
      </c>
      <c r="Q32" s="152">
        <f t="shared" si="69"/>
        <v>7</v>
      </c>
      <c r="R32" s="127">
        <f t="shared" si="69"/>
        <v>7</v>
      </c>
      <c r="S32" s="136">
        <f t="shared" si="69"/>
        <v>7</v>
      </c>
      <c r="T32" s="144">
        <f t="shared" si="69"/>
        <v>7</v>
      </c>
      <c r="U32" s="152">
        <f t="shared" si="69"/>
        <v>7</v>
      </c>
      <c r="V32" s="127">
        <f t="shared" si="69"/>
        <v>7</v>
      </c>
      <c r="W32" s="136">
        <f t="shared" si="69"/>
        <v>7</v>
      </c>
      <c r="X32" s="144">
        <f t="shared" si="69"/>
        <v>7</v>
      </c>
      <c r="Y32" s="152">
        <f t="shared" si="69"/>
        <v>7</v>
      </c>
      <c r="Z32" s="127">
        <f t="shared" si="69"/>
        <v>7</v>
      </c>
      <c r="AA32" s="136">
        <f t="shared" si="69"/>
        <v>7</v>
      </c>
      <c r="AB32" s="144">
        <f t="shared" si="69"/>
        <v>7</v>
      </c>
      <c r="AC32" s="152">
        <f t="shared" si="69"/>
        <v>7</v>
      </c>
      <c r="AD32" s="127">
        <f t="shared" si="69"/>
        <v>7</v>
      </c>
      <c r="AE32" s="136">
        <f t="shared" si="69"/>
        <v>7</v>
      </c>
      <c r="AF32" s="84"/>
      <c r="AG32" s="84"/>
      <c r="AH32" s="44"/>
      <c r="AL32" s="13"/>
      <c r="AM32" s="64"/>
      <c r="AN32" s="27"/>
      <c r="AO32" s="27"/>
      <c r="AP32" s="41"/>
      <c r="AQ32" s="42"/>
      <c r="AR32" s="39"/>
      <c r="AS32" s="39"/>
      <c r="AT32" s="41"/>
      <c r="AU32" s="42"/>
      <c r="AV32" s="39"/>
      <c r="AY32" s="43"/>
    </row>
    <row r="33" spans="1:54" ht="16.5" thickTop="1" thickBot="1" x14ac:dyDescent="0.3">
      <c r="A33" s="19"/>
      <c r="B33" s="37"/>
      <c r="C33" s="38" t="s">
        <v>71</v>
      </c>
      <c r="E33" s="36"/>
      <c r="F33" s="32">
        <f t="shared" ref="F33:AE33" si="70">IF(F29&gt;F32*5,F32*5*$AQ$38,IF(F29&gt;=F32*4,F29*$AQ$38,IF(F29&gt;=F32*3,F29*$AQ$37,IF(F29&gt;=F32*2,F29*$AQ$36,IF(F29&gt;=F32,F29*$AQ$35,F29*$AQ$34)))))</f>
        <v>175</v>
      </c>
      <c r="G33" s="133">
        <f t="shared" si="70"/>
        <v>175</v>
      </c>
      <c r="H33" s="141">
        <f t="shared" si="70"/>
        <v>175</v>
      </c>
      <c r="I33" s="149">
        <f t="shared" si="70"/>
        <v>175</v>
      </c>
      <c r="J33" s="32">
        <f t="shared" si="70"/>
        <v>175</v>
      </c>
      <c r="K33" s="133">
        <f t="shared" si="70"/>
        <v>175</v>
      </c>
      <c r="L33" s="141">
        <f t="shared" si="70"/>
        <v>175</v>
      </c>
      <c r="M33" s="149">
        <f t="shared" si="70"/>
        <v>175</v>
      </c>
      <c r="N33" s="32">
        <f t="shared" si="70"/>
        <v>175</v>
      </c>
      <c r="O33" s="133">
        <f t="shared" si="70"/>
        <v>175</v>
      </c>
      <c r="P33" s="141">
        <f t="shared" si="70"/>
        <v>175</v>
      </c>
      <c r="Q33" s="149">
        <f t="shared" si="70"/>
        <v>175</v>
      </c>
      <c r="R33" s="32">
        <f t="shared" si="70"/>
        <v>175</v>
      </c>
      <c r="S33" s="133">
        <f>IF(S29&gt;S32*5,S32*5*$AQ$38,IF(S29&gt;=S32*4,S29*$AQ$38,IF(S29&gt;=S32*3,S29*$AQ$37,IF(S29&gt;=S32*2,S29*$AQ$36,IF(S29&gt;=S32,S29*$AQ$35,S29*$AQ$34)))))</f>
        <v>175</v>
      </c>
      <c r="T33" s="141">
        <f t="shared" si="70"/>
        <v>175</v>
      </c>
      <c r="U33" s="149">
        <f t="shared" si="70"/>
        <v>175</v>
      </c>
      <c r="V33" s="32">
        <f t="shared" si="70"/>
        <v>175</v>
      </c>
      <c r="W33" s="133">
        <f t="shared" si="70"/>
        <v>175</v>
      </c>
      <c r="X33" s="141">
        <f t="shared" si="70"/>
        <v>175</v>
      </c>
      <c r="Y33" s="149">
        <f t="shared" si="70"/>
        <v>175</v>
      </c>
      <c r="Z33" s="32">
        <f t="shared" si="70"/>
        <v>175</v>
      </c>
      <c r="AA33" s="133">
        <f t="shared" si="70"/>
        <v>175</v>
      </c>
      <c r="AB33" s="141">
        <f t="shared" si="70"/>
        <v>175</v>
      </c>
      <c r="AC33" s="149">
        <f t="shared" si="70"/>
        <v>175</v>
      </c>
      <c r="AD33" s="32">
        <f t="shared" si="70"/>
        <v>175</v>
      </c>
      <c r="AE33" s="133">
        <f t="shared" si="70"/>
        <v>175</v>
      </c>
      <c r="AF33" s="84"/>
      <c r="AG33" s="84"/>
      <c r="AH33" s="19"/>
      <c r="AI33" s="110" t="s">
        <v>65</v>
      </c>
      <c r="AJ33" s="108"/>
      <c r="AK33" s="109"/>
      <c r="AL33" s="27"/>
      <c r="AO33" s="119"/>
      <c r="AP33" s="119" t="s">
        <v>76</v>
      </c>
      <c r="AQ33" s="119" t="s">
        <v>67</v>
      </c>
      <c r="AR33" s="39"/>
      <c r="AS33" s="39"/>
      <c r="AT33" s="41"/>
      <c r="AU33" s="42"/>
      <c r="AV33" s="39"/>
      <c r="AY33" s="43"/>
    </row>
    <row r="34" spans="1:54" ht="16.5" thickTop="1" thickBot="1" x14ac:dyDescent="0.3">
      <c r="A34" s="19"/>
      <c r="B34" s="37"/>
      <c r="C34" s="38" t="s">
        <v>72</v>
      </c>
      <c r="E34" s="36"/>
      <c r="F34" s="32">
        <f>F30*14</f>
        <v>0</v>
      </c>
      <c r="G34" s="133">
        <f t="shared" ref="G34:AE34" si="71">G30*14</f>
        <v>0</v>
      </c>
      <c r="H34" s="141">
        <f t="shared" si="71"/>
        <v>0</v>
      </c>
      <c r="I34" s="149">
        <f t="shared" si="71"/>
        <v>0</v>
      </c>
      <c r="J34" s="32">
        <f t="shared" si="71"/>
        <v>0</v>
      </c>
      <c r="K34" s="133">
        <f t="shared" si="71"/>
        <v>0</v>
      </c>
      <c r="L34" s="141">
        <f t="shared" si="71"/>
        <v>0</v>
      </c>
      <c r="M34" s="149">
        <f t="shared" si="71"/>
        <v>0</v>
      </c>
      <c r="N34" s="32">
        <f t="shared" si="71"/>
        <v>56</v>
      </c>
      <c r="O34" s="133">
        <f t="shared" si="71"/>
        <v>56</v>
      </c>
      <c r="P34" s="141">
        <f t="shared" si="71"/>
        <v>56</v>
      </c>
      <c r="Q34" s="149">
        <f t="shared" si="71"/>
        <v>56</v>
      </c>
      <c r="R34" s="32">
        <f t="shared" si="71"/>
        <v>56</v>
      </c>
      <c r="S34" s="133">
        <f t="shared" si="71"/>
        <v>56</v>
      </c>
      <c r="T34" s="141">
        <f t="shared" si="71"/>
        <v>56</v>
      </c>
      <c r="U34" s="149">
        <f t="shared" si="71"/>
        <v>56</v>
      </c>
      <c r="V34" s="32">
        <f t="shared" si="71"/>
        <v>70</v>
      </c>
      <c r="W34" s="133">
        <f t="shared" si="71"/>
        <v>70</v>
      </c>
      <c r="X34" s="141">
        <f t="shared" si="71"/>
        <v>70</v>
      </c>
      <c r="Y34" s="149">
        <f t="shared" si="71"/>
        <v>70</v>
      </c>
      <c r="Z34" s="32">
        <f t="shared" si="71"/>
        <v>70</v>
      </c>
      <c r="AA34" s="133">
        <f t="shared" si="71"/>
        <v>70</v>
      </c>
      <c r="AB34" s="141">
        <f t="shared" si="71"/>
        <v>70</v>
      </c>
      <c r="AC34" s="149">
        <f t="shared" si="71"/>
        <v>70</v>
      </c>
      <c r="AD34" s="32">
        <f t="shared" si="71"/>
        <v>70</v>
      </c>
      <c r="AE34" s="133">
        <f t="shared" si="71"/>
        <v>70</v>
      </c>
      <c r="AF34" s="84"/>
      <c r="AG34" s="84"/>
      <c r="AH34" s="19"/>
      <c r="AI34" s="107"/>
      <c r="AJ34" s="111" t="s">
        <v>66</v>
      </c>
      <c r="AK34" s="112" t="s">
        <v>67</v>
      </c>
      <c r="AL34" s="27"/>
      <c r="AO34" s="116"/>
      <c r="AP34" s="116" t="s">
        <v>77</v>
      </c>
      <c r="AQ34" s="117">
        <v>20</v>
      </c>
      <c r="AR34" s="39"/>
      <c r="AS34" s="39"/>
      <c r="AT34" s="41"/>
      <c r="AU34" s="42"/>
      <c r="AV34" s="39"/>
      <c r="AY34" s="43"/>
    </row>
    <row r="35" spans="1:54" ht="16.5" thickTop="1" thickBot="1" x14ac:dyDescent="0.3">
      <c r="A35" s="19"/>
      <c r="B35" s="37"/>
      <c r="C35" s="38"/>
      <c r="E35" s="36"/>
      <c r="F35" s="45"/>
      <c r="G35" s="45"/>
      <c r="H35" s="45"/>
      <c r="I35" s="45"/>
      <c r="J35" s="45"/>
      <c r="K35" s="45"/>
      <c r="L35" s="45"/>
      <c r="M35" s="45"/>
      <c r="N35" s="45"/>
      <c r="O35" s="45"/>
      <c r="P35" s="45"/>
      <c r="Q35" s="45"/>
      <c r="R35" s="45"/>
      <c r="S35" s="45"/>
      <c r="T35" s="45"/>
      <c r="U35" s="45"/>
      <c r="V35" s="45"/>
      <c r="W35" s="45"/>
      <c r="X35" s="45"/>
      <c r="Y35" s="45"/>
      <c r="Z35" s="45"/>
      <c r="AA35" s="45"/>
      <c r="AB35" s="45"/>
      <c r="AC35" s="45"/>
      <c r="AD35" s="45"/>
      <c r="AE35" s="45"/>
      <c r="AF35" s="84"/>
      <c r="AG35" s="84"/>
      <c r="AH35" s="19"/>
      <c r="AI35" s="107" t="s">
        <v>2</v>
      </c>
      <c r="AJ35" s="107" t="s">
        <v>3</v>
      </c>
      <c r="AK35" s="107"/>
      <c r="AL35" s="27"/>
      <c r="AO35" s="116"/>
      <c r="AP35" s="116" t="s">
        <v>78</v>
      </c>
      <c r="AQ35" s="117">
        <v>25</v>
      </c>
      <c r="AR35" s="39"/>
      <c r="AS35" s="39"/>
      <c r="AT35" s="41"/>
      <c r="AU35" s="42"/>
      <c r="AV35" s="39"/>
    </row>
    <row r="36" spans="1:54" ht="16.5" thickTop="1" thickBot="1" x14ac:dyDescent="0.3">
      <c r="A36" s="19"/>
      <c r="B36" s="37"/>
      <c r="C36" s="38"/>
      <c r="E36" s="3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84"/>
      <c r="AG36" s="84"/>
      <c r="AH36" s="19"/>
      <c r="AI36" s="105">
        <v>0</v>
      </c>
      <c r="AJ36" s="115">
        <v>2500</v>
      </c>
      <c r="AK36" s="113">
        <v>100</v>
      </c>
      <c r="AL36" s="27"/>
      <c r="AO36" s="116"/>
      <c r="AP36" s="116" t="s">
        <v>79</v>
      </c>
      <c r="AQ36" s="117">
        <v>26</v>
      </c>
      <c r="AR36" s="39"/>
      <c r="AS36" s="39"/>
      <c r="AT36" s="41"/>
      <c r="AU36" s="42"/>
      <c r="AV36" s="39"/>
    </row>
    <row r="37" spans="1:54" ht="16.5" thickTop="1" thickBot="1" x14ac:dyDescent="0.3">
      <c r="A37" s="19"/>
      <c r="B37" s="37"/>
      <c r="C37" s="38" t="s">
        <v>22</v>
      </c>
      <c r="E37" s="36"/>
      <c r="F37" s="32"/>
      <c r="G37" s="133"/>
      <c r="H37" s="141">
        <f t="shared" ref="H37:U37" si="72">F15* ($AM$26)</f>
        <v>5421.1035818005803</v>
      </c>
      <c r="I37" s="149">
        <f t="shared" si="72"/>
        <v>5421.1035818005803</v>
      </c>
      <c r="J37" s="32">
        <f t="shared" si="72"/>
        <v>5421.1035818005803</v>
      </c>
      <c r="K37" s="133">
        <f t="shared" si="72"/>
        <v>5421.1035818005803</v>
      </c>
      <c r="L37" s="141">
        <f t="shared" si="72"/>
        <v>5421.1035818005803</v>
      </c>
      <c r="M37" s="149">
        <f t="shared" si="72"/>
        <v>5421.1035818005803</v>
      </c>
      <c r="N37" s="32">
        <f t="shared" si="72"/>
        <v>5421.1035818005803</v>
      </c>
      <c r="O37" s="133">
        <f t="shared" si="72"/>
        <v>5421.1035818005803</v>
      </c>
      <c r="P37" s="141">
        <f t="shared" si="72"/>
        <v>5421.1035818005803</v>
      </c>
      <c r="Q37" s="149">
        <f t="shared" si="72"/>
        <v>5421.1035818005803</v>
      </c>
      <c r="R37" s="32">
        <f t="shared" si="72"/>
        <v>5421.1035818005803</v>
      </c>
      <c r="S37" s="133">
        <f t="shared" si="72"/>
        <v>5421.1035818005803</v>
      </c>
      <c r="T37" s="141">
        <f t="shared" si="72"/>
        <v>5421.1035818005803</v>
      </c>
      <c r="U37" s="149">
        <f t="shared" si="72"/>
        <v>5421.1035818005803</v>
      </c>
      <c r="V37" s="32">
        <f t="shared" ref="V37:AE37" si="73">T15*($AS$26)</f>
        <v>5421.1035818005803</v>
      </c>
      <c r="W37" s="133">
        <f t="shared" si="73"/>
        <v>5421.1035818005803</v>
      </c>
      <c r="X37" s="141">
        <f t="shared" si="73"/>
        <v>5421.1035818005803</v>
      </c>
      <c r="Y37" s="149">
        <f t="shared" si="73"/>
        <v>5421.1035818005803</v>
      </c>
      <c r="Z37" s="32">
        <f t="shared" si="73"/>
        <v>5421.1035818005803</v>
      </c>
      <c r="AA37" s="133">
        <f t="shared" si="73"/>
        <v>5421.1035818005803</v>
      </c>
      <c r="AB37" s="141">
        <f t="shared" si="73"/>
        <v>5421.1035818005803</v>
      </c>
      <c r="AC37" s="149">
        <f t="shared" si="73"/>
        <v>5421.1035818005803</v>
      </c>
      <c r="AD37" s="32">
        <f t="shared" si="73"/>
        <v>5421.1035818005803</v>
      </c>
      <c r="AE37" s="133">
        <f t="shared" si="73"/>
        <v>5421.1035818005803</v>
      </c>
      <c r="AF37" s="84"/>
      <c r="AG37" s="84"/>
      <c r="AH37" s="19"/>
      <c r="AI37" s="106">
        <v>2501</v>
      </c>
      <c r="AJ37" s="115">
        <v>5000</v>
      </c>
      <c r="AK37" s="113">
        <v>700</v>
      </c>
      <c r="AL37" s="27"/>
      <c r="AO37" s="116"/>
      <c r="AP37" s="116" t="s">
        <v>80</v>
      </c>
      <c r="AQ37" s="118">
        <v>27</v>
      </c>
      <c r="AR37" s="39"/>
      <c r="AS37" s="39"/>
      <c r="AT37" s="41"/>
      <c r="AU37" s="42"/>
      <c r="AV37" s="39"/>
    </row>
    <row r="38" spans="1:54" ht="16.5" thickTop="1" thickBot="1" x14ac:dyDescent="0.3">
      <c r="A38" s="19"/>
      <c r="B38" s="37"/>
      <c r="C38" s="38" t="s">
        <v>23</v>
      </c>
      <c r="E38" s="36"/>
      <c r="F38" s="32"/>
      <c r="G38" s="133"/>
      <c r="H38" s="141">
        <f>SUM(H22:H26,H31:H34,H37)</f>
        <v>17231.412391093902</v>
      </c>
      <c r="I38" s="149">
        <f t="shared" ref="I38:O38" si="74">SUM(I22:I26,I31:I34,I37)</f>
        <v>17231.412391093902</v>
      </c>
      <c r="J38" s="32">
        <f t="shared" si="74"/>
        <v>17231.412391093902</v>
      </c>
      <c r="K38" s="133">
        <f t="shared" si="74"/>
        <v>17231.412391093902</v>
      </c>
      <c r="L38" s="141">
        <f t="shared" si="74"/>
        <v>17231.412391093902</v>
      </c>
      <c r="M38" s="149">
        <f t="shared" si="74"/>
        <v>17231.412391093902</v>
      </c>
      <c r="N38" s="32">
        <f t="shared" si="74"/>
        <v>17357.412391093902</v>
      </c>
      <c r="O38" s="133">
        <f t="shared" si="74"/>
        <v>21837.412391093902</v>
      </c>
      <c r="P38" s="141">
        <f>SUM(P22:P26,P31:P34,P37)</f>
        <v>16865.912391093902</v>
      </c>
      <c r="Q38" s="149">
        <f t="shared" ref="Q38:AD38" si="75">SUM(Q22:Q26,Q31:Q34,Q37)</f>
        <v>16865.912391093902</v>
      </c>
      <c r="R38" s="32">
        <f t="shared" si="75"/>
        <v>16865.912391093902</v>
      </c>
      <c r="S38" s="133">
        <f t="shared" si="75"/>
        <v>18785.912391093902</v>
      </c>
      <c r="T38" s="141">
        <f t="shared" si="75"/>
        <v>16865.912391093902</v>
      </c>
      <c r="U38" s="149">
        <f t="shared" si="75"/>
        <v>16865.912391093902</v>
      </c>
      <c r="V38" s="32">
        <f>SUM(V22:V26,V31:V34,V37)</f>
        <v>17004.412391093902</v>
      </c>
      <c r="W38" s="133">
        <f t="shared" si="75"/>
        <v>17004.412391093902</v>
      </c>
      <c r="X38" s="141">
        <f t="shared" si="75"/>
        <v>20204.412391093902</v>
      </c>
      <c r="Y38" s="149">
        <f t="shared" si="75"/>
        <v>17004.412391093902</v>
      </c>
      <c r="Z38" s="32">
        <f t="shared" si="75"/>
        <v>17004.412391093902</v>
      </c>
      <c r="AA38" s="133">
        <f t="shared" si="75"/>
        <v>17004.412391093902</v>
      </c>
      <c r="AB38" s="141">
        <f t="shared" si="75"/>
        <v>17004.412391093902</v>
      </c>
      <c r="AC38" s="149">
        <f t="shared" si="75"/>
        <v>17004.412391093902</v>
      </c>
      <c r="AD38" s="32">
        <f t="shared" si="75"/>
        <v>20204.412391093902</v>
      </c>
      <c r="AE38" s="133">
        <f>SUM(AE22:AE26,AE31:AE34,AE37)</f>
        <v>17004.412391093902</v>
      </c>
      <c r="AF38" s="84"/>
      <c r="AG38" s="84"/>
      <c r="AH38" s="19"/>
      <c r="AI38" s="106">
        <v>5001</v>
      </c>
      <c r="AJ38" s="115">
        <v>19167</v>
      </c>
      <c r="AK38" s="113">
        <v>780</v>
      </c>
      <c r="AL38" s="27"/>
      <c r="AO38" s="116"/>
      <c r="AP38" s="116" t="s">
        <v>81</v>
      </c>
      <c r="AQ38" s="117">
        <v>28</v>
      </c>
      <c r="AR38" s="39"/>
      <c r="AS38" s="39"/>
      <c r="AT38" s="41"/>
      <c r="AU38" s="42"/>
      <c r="AV38" s="39"/>
      <c r="AX38" s="172"/>
      <c r="AY38" s="173"/>
      <c r="AZ38" s="173"/>
      <c r="BA38" s="173"/>
      <c r="BB38" s="173"/>
    </row>
    <row r="39" spans="1:54" ht="16.5" thickTop="1" thickBot="1" x14ac:dyDescent="0.3">
      <c r="A39" s="19"/>
      <c r="B39" s="37"/>
      <c r="C39" s="38"/>
      <c r="E39" s="36"/>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84"/>
      <c r="AG39" s="84"/>
      <c r="AH39" s="19"/>
      <c r="AI39" s="106">
        <v>19168</v>
      </c>
      <c r="AJ39" s="114"/>
      <c r="AK39" s="113">
        <v>833.33</v>
      </c>
      <c r="AL39" s="27"/>
      <c r="AM39" s="27"/>
      <c r="AN39" s="50"/>
      <c r="AR39" s="39"/>
      <c r="AS39" s="39"/>
      <c r="AT39" s="41"/>
      <c r="AU39" s="42"/>
      <c r="AV39" s="39"/>
      <c r="AX39" s="172"/>
      <c r="AY39" s="173"/>
      <c r="AZ39" s="173"/>
      <c r="BA39" s="173"/>
      <c r="BB39" s="173"/>
    </row>
    <row r="40" spans="1:54" ht="16.5" thickTop="1" thickBot="1" x14ac:dyDescent="0.3">
      <c r="A40" s="2"/>
      <c r="B40" s="37"/>
      <c r="C40" s="38" t="s">
        <v>24</v>
      </c>
      <c r="E40" s="36"/>
      <c r="F40" s="47"/>
      <c r="G40" s="137"/>
      <c r="H40" s="145"/>
      <c r="I40" s="153">
        <f t="shared" ref="I40:AE40" si="76">(I22+I23+I24+I26+I37)/G16-(H22+H23+H24+H26+H37)/F16</f>
        <v>0</v>
      </c>
      <c r="J40" s="47">
        <f t="shared" si="76"/>
        <v>0</v>
      </c>
      <c r="K40" s="137">
        <f t="shared" si="76"/>
        <v>0</v>
      </c>
      <c r="L40" s="145">
        <f t="shared" si="76"/>
        <v>0</v>
      </c>
      <c r="M40" s="153">
        <f t="shared" si="76"/>
        <v>0</v>
      </c>
      <c r="N40" s="47">
        <f t="shared" si="76"/>
        <v>9.9999999999997868E-3</v>
      </c>
      <c r="O40" s="137">
        <f t="shared" si="76"/>
        <v>0</v>
      </c>
      <c r="P40" s="145">
        <f t="shared" si="76"/>
        <v>2.1785714285714519E-2</v>
      </c>
      <c r="Q40" s="153">
        <f t="shared" si="76"/>
        <v>0</v>
      </c>
      <c r="R40" s="47">
        <f t="shared" si="76"/>
        <v>0</v>
      </c>
      <c r="S40" s="137">
        <f t="shared" si="76"/>
        <v>0</v>
      </c>
      <c r="T40" s="145">
        <f t="shared" si="76"/>
        <v>0</v>
      </c>
      <c r="U40" s="153">
        <f t="shared" si="76"/>
        <v>0</v>
      </c>
      <c r="V40" s="47">
        <f t="shared" si="76"/>
        <v>2.1785714285714075E-2</v>
      </c>
      <c r="W40" s="137">
        <f t="shared" si="76"/>
        <v>0</v>
      </c>
      <c r="X40" s="145">
        <f t="shared" si="76"/>
        <v>0</v>
      </c>
      <c r="Y40" s="153">
        <f t="shared" si="76"/>
        <v>0</v>
      </c>
      <c r="Z40" s="47">
        <f t="shared" si="76"/>
        <v>0</v>
      </c>
      <c r="AA40" s="137">
        <f t="shared" si="76"/>
        <v>0</v>
      </c>
      <c r="AB40" s="145">
        <f t="shared" si="76"/>
        <v>0</v>
      </c>
      <c r="AC40" s="153">
        <f t="shared" si="76"/>
        <v>0</v>
      </c>
      <c r="AD40" s="47">
        <f t="shared" si="76"/>
        <v>0</v>
      </c>
      <c r="AE40" s="137">
        <f t="shared" si="76"/>
        <v>0</v>
      </c>
      <c r="AF40" s="84"/>
      <c r="AG40" s="84"/>
      <c r="AH40" s="19"/>
      <c r="AL40" s="13"/>
      <c r="AM40" s="64"/>
      <c r="AN40" s="52"/>
      <c r="AO40" s="27"/>
      <c r="AP40" s="41"/>
      <c r="AQ40" s="42"/>
      <c r="AR40" s="39"/>
      <c r="AS40" s="39"/>
      <c r="AT40" s="41"/>
      <c r="AU40" s="42"/>
      <c r="AV40" s="39"/>
    </row>
    <row r="41" spans="1:54" ht="15.75" thickTop="1" x14ac:dyDescent="0.25">
      <c r="A41" s="2"/>
      <c r="G41" s="84"/>
      <c r="H41" s="84"/>
      <c r="I41" s="84"/>
      <c r="J41" s="84"/>
      <c r="K41" s="84"/>
      <c r="L41" s="84"/>
      <c r="M41" s="84"/>
      <c r="N41" s="84"/>
      <c r="O41" s="84"/>
      <c r="P41" s="84"/>
      <c r="Q41" s="84"/>
      <c r="R41" s="84"/>
      <c r="AH41" s="19"/>
      <c r="AI41" s="110" t="s">
        <v>101</v>
      </c>
      <c r="AJ41" s="108"/>
      <c r="AK41" s="109"/>
      <c r="AL41" s="13"/>
      <c r="AM41" s="64"/>
      <c r="AN41" s="52"/>
      <c r="AO41" s="51"/>
      <c r="AP41" s="41"/>
      <c r="AQ41" s="42"/>
      <c r="AR41" s="39"/>
      <c r="AS41" s="39"/>
      <c r="AT41" s="41"/>
      <c r="AU41" s="42"/>
      <c r="AV41" s="39"/>
    </row>
    <row r="42" spans="1:54" x14ac:dyDescent="0.25">
      <c r="A42" s="2"/>
      <c r="G42" s="84"/>
      <c r="H42" s="84"/>
      <c r="I42" s="84"/>
      <c r="J42" s="84"/>
      <c r="K42" s="84"/>
      <c r="L42" s="84"/>
      <c r="M42" s="84"/>
      <c r="N42" s="84"/>
      <c r="O42" s="84"/>
      <c r="P42" s="84"/>
      <c r="Q42" s="84"/>
      <c r="R42" s="84"/>
      <c r="AH42" s="19"/>
      <c r="AI42" s="107"/>
      <c r="AJ42" s="111" t="s">
        <v>66</v>
      </c>
      <c r="AK42" s="112" t="s">
        <v>67</v>
      </c>
      <c r="AL42" s="13"/>
      <c r="AM42" s="64"/>
      <c r="AN42" s="52"/>
      <c r="AO42" s="51"/>
      <c r="AP42" s="41"/>
      <c r="AQ42" s="42"/>
      <c r="AR42" s="39"/>
      <c r="AS42" s="39"/>
      <c r="AT42" s="41"/>
      <c r="AU42" s="42"/>
      <c r="AV42" s="39"/>
      <c r="AW42" s="17"/>
    </row>
    <row r="43" spans="1:54" ht="15.75" thickBot="1" x14ac:dyDescent="0.3">
      <c r="A43" s="2"/>
      <c r="C43" s="100" t="s">
        <v>51</v>
      </c>
      <c r="D43" s="25"/>
      <c r="E43" s="25"/>
      <c r="F43" s="25">
        <v>43497</v>
      </c>
      <c r="G43" s="25">
        <v>43525</v>
      </c>
      <c r="H43" s="25">
        <v>43556</v>
      </c>
      <c r="I43" s="25">
        <v>43586</v>
      </c>
      <c r="J43" s="25">
        <v>43617</v>
      </c>
      <c r="K43" s="25">
        <v>43647</v>
      </c>
      <c r="L43" s="25">
        <v>43678</v>
      </c>
      <c r="M43" s="25">
        <v>43709</v>
      </c>
      <c r="N43" s="25">
        <v>43739</v>
      </c>
      <c r="O43" s="25">
        <v>43770</v>
      </c>
      <c r="P43" s="25">
        <v>43800</v>
      </c>
      <c r="Q43" s="25">
        <v>43831</v>
      </c>
      <c r="R43" s="25">
        <v>43862</v>
      </c>
      <c r="S43" s="25">
        <v>43891</v>
      </c>
      <c r="T43" s="25">
        <v>43922</v>
      </c>
      <c r="U43" s="25">
        <v>43952</v>
      </c>
      <c r="V43" s="25">
        <v>43983</v>
      </c>
      <c r="W43" s="25">
        <v>44013</v>
      </c>
      <c r="X43" s="25">
        <v>44044</v>
      </c>
      <c r="Y43" s="25">
        <v>44075</v>
      </c>
      <c r="Z43" s="25">
        <v>44105</v>
      </c>
      <c r="AA43" s="25">
        <v>44136</v>
      </c>
      <c r="AB43" s="25">
        <v>44166</v>
      </c>
      <c r="AC43" s="25">
        <v>44197</v>
      </c>
      <c r="AD43" s="25">
        <v>44228</v>
      </c>
      <c r="AE43" s="25">
        <v>44256</v>
      </c>
      <c r="AH43" s="19"/>
      <c r="AI43" s="107" t="s">
        <v>2</v>
      </c>
      <c r="AJ43" s="107" t="s">
        <v>3</v>
      </c>
      <c r="AK43" s="107"/>
      <c r="AL43" s="13"/>
      <c r="AM43" s="64"/>
      <c r="AN43" s="52"/>
      <c r="AO43" s="51"/>
      <c r="AP43" s="41"/>
      <c r="AQ43" s="42"/>
      <c r="AR43" s="39"/>
      <c r="AS43" s="39"/>
      <c r="AT43" s="41"/>
      <c r="AU43" s="42"/>
      <c r="AV43" s="39"/>
    </row>
    <row r="44" spans="1:54" x14ac:dyDescent="0.25">
      <c r="A44" s="2"/>
      <c r="C44" s="13" t="s">
        <v>25</v>
      </c>
      <c r="D44" s="48"/>
      <c r="E44" s="48"/>
      <c r="F44" s="48">
        <f t="shared" ref="F44:AE44" si="77">F20</f>
        <v>59630.757640777054</v>
      </c>
      <c r="G44" s="48">
        <f t="shared" si="77"/>
        <v>59524.006983411833</v>
      </c>
      <c r="H44" s="48">
        <f>H20</f>
        <v>60262.742999367678</v>
      </c>
      <c r="I44" s="48">
        <f t="shared" si="77"/>
        <v>59881.840312314875</v>
      </c>
      <c r="J44" s="48">
        <f t="shared" si="77"/>
        <v>59848.776465372779</v>
      </c>
      <c r="K44" s="48">
        <f t="shared" si="77"/>
        <v>60605.67576238011</v>
      </c>
      <c r="L44" s="48">
        <f t="shared" si="77"/>
        <v>61180.90856662544</v>
      </c>
      <c r="M44" s="48">
        <f t="shared" si="77"/>
        <v>60710.589217582215</v>
      </c>
      <c r="N44" s="48">
        <f t="shared" si="77"/>
        <v>60850.589217582215</v>
      </c>
      <c r="O44" s="48">
        <f t="shared" si="77"/>
        <v>60780.589217582215</v>
      </c>
      <c r="P44" s="48">
        <f t="shared" si="77"/>
        <v>61085.589217582215</v>
      </c>
      <c r="Q44" s="48">
        <f t="shared" si="77"/>
        <v>60933.089217582215</v>
      </c>
      <c r="R44" s="48">
        <f t="shared" si="77"/>
        <v>60933.089217582215</v>
      </c>
      <c r="S44" s="48">
        <f t="shared" si="77"/>
        <v>60933.089217582215</v>
      </c>
      <c r="T44" s="48">
        <f t="shared" si="77"/>
        <v>60933.089217582215</v>
      </c>
      <c r="U44" s="48">
        <f t="shared" si="77"/>
        <v>60933.089217582215</v>
      </c>
      <c r="V44" s="48">
        <f t="shared" si="77"/>
        <v>61238.089217582215</v>
      </c>
      <c r="W44" s="48">
        <f t="shared" si="77"/>
        <v>61085.589217582215</v>
      </c>
      <c r="X44" s="48">
        <f t="shared" si="77"/>
        <v>61085.589217582215</v>
      </c>
      <c r="Y44" s="48">
        <f t="shared" si="77"/>
        <v>61085.589217582215</v>
      </c>
      <c r="Z44" s="48">
        <f t="shared" si="77"/>
        <v>61085.589217582215</v>
      </c>
      <c r="AA44" s="48">
        <f t="shared" si="77"/>
        <v>61085.589217582215</v>
      </c>
      <c r="AB44" s="48">
        <f t="shared" si="77"/>
        <v>61085.589217582215</v>
      </c>
      <c r="AC44" s="48">
        <f t="shared" si="77"/>
        <v>61085.589217582215</v>
      </c>
      <c r="AD44" s="48">
        <f t="shared" si="77"/>
        <v>61085.589217582215</v>
      </c>
      <c r="AE44" s="48">
        <f t="shared" si="77"/>
        <v>61085.589217582215</v>
      </c>
      <c r="AH44" s="19"/>
      <c r="AI44" s="105">
        <v>0</v>
      </c>
      <c r="AJ44" s="115">
        <v>2500</v>
      </c>
      <c r="AK44" s="113">
        <f>AK36*2</f>
        <v>200</v>
      </c>
      <c r="AL44" s="13"/>
      <c r="AM44" s="64"/>
      <c r="AN44" s="52"/>
      <c r="AO44" s="51"/>
      <c r="AP44" s="41"/>
      <c r="AQ44" s="42"/>
      <c r="AR44" s="39"/>
      <c r="AS44" s="39"/>
      <c r="AT44" s="41"/>
      <c r="AU44" s="42"/>
      <c r="AV44" s="39"/>
    </row>
    <row r="45" spans="1:54" x14ac:dyDescent="0.25">
      <c r="A45" s="2"/>
      <c r="C45" s="13" t="s">
        <v>26</v>
      </c>
      <c r="D45" s="49"/>
      <c r="E45" s="49"/>
      <c r="F45" s="49"/>
      <c r="G45" s="99">
        <f>G44/F44</f>
        <v>0.99820980544959192</v>
      </c>
      <c r="H45" s="99">
        <f t="shared" ref="H45:AE45" si="78">H44/G44</f>
        <v>1.0124107238976991</v>
      </c>
      <c r="I45" s="99">
        <f t="shared" si="78"/>
        <v>0.99367930054135112</v>
      </c>
      <c r="J45" s="99">
        <f t="shared" si="78"/>
        <v>0.99944784851685164</v>
      </c>
      <c r="K45" s="99">
        <f t="shared" si="78"/>
        <v>1.0126468633397252</v>
      </c>
      <c r="L45" s="99">
        <f t="shared" si="78"/>
        <v>1.0094914015396954</v>
      </c>
      <c r="M45" s="99">
        <f t="shared" si="78"/>
        <v>0.99231264523423923</v>
      </c>
      <c r="N45" s="99">
        <f t="shared" si="78"/>
        <v>1.0023060227516201</v>
      </c>
      <c r="O45" s="99">
        <f t="shared" si="78"/>
        <v>0.99884964137734633</v>
      </c>
      <c r="P45" s="99">
        <f t="shared" si="78"/>
        <v>1.0050180494122583</v>
      </c>
      <c r="Q45" s="99">
        <f t="shared" si="78"/>
        <v>0.99750350283997746</v>
      </c>
      <c r="R45" s="99">
        <f t="shared" si="78"/>
        <v>1</v>
      </c>
      <c r="S45" s="99">
        <f t="shared" si="78"/>
        <v>1</v>
      </c>
      <c r="T45" s="99">
        <f t="shared" si="78"/>
        <v>1</v>
      </c>
      <c r="U45" s="99">
        <f t="shared" si="78"/>
        <v>1</v>
      </c>
      <c r="V45" s="99">
        <f t="shared" si="78"/>
        <v>1.0050054905128951</v>
      </c>
      <c r="W45" s="99">
        <f t="shared" si="78"/>
        <v>0.99750971981738101</v>
      </c>
      <c r="X45" s="99">
        <f t="shared" si="78"/>
        <v>1</v>
      </c>
      <c r="Y45" s="99">
        <f t="shared" si="78"/>
        <v>1</v>
      </c>
      <c r="Z45" s="99">
        <f t="shared" si="78"/>
        <v>1</v>
      </c>
      <c r="AA45" s="99">
        <f t="shared" si="78"/>
        <v>1</v>
      </c>
      <c r="AB45" s="99">
        <f t="shared" si="78"/>
        <v>1</v>
      </c>
      <c r="AC45" s="99">
        <f t="shared" si="78"/>
        <v>1</v>
      </c>
      <c r="AD45" s="99">
        <f t="shared" si="78"/>
        <v>1</v>
      </c>
      <c r="AE45" s="99">
        <f t="shared" si="78"/>
        <v>1</v>
      </c>
      <c r="AH45" s="19"/>
      <c r="AI45" s="106">
        <v>2501</v>
      </c>
      <c r="AJ45" s="115">
        <v>5000</v>
      </c>
      <c r="AK45" s="113">
        <f t="shared" ref="AK45:AK47" si="79">AK37*2</f>
        <v>1400</v>
      </c>
      <c r="AL45" s="13"/>
      <c r="AM45" s="64"/>
      <c r="AN45" s="52"/>
      <c r="AO45" s="51"/>
      <c r="AP45" s="41"/>
      <c r="AQ45" s="42"/>
      <c r="AR45" s="39"/>
      <c r="AS45" s="39"/>
      <c r="AT45" s="41"/>
      <c r="AU45" s="42"/>
      <c r="AV45" s="39"/>
    </row>
    <row r="46" spans="1:54" x14ac:dyDescent="0.25">
      <c r="A46" s="2"/>
      <c r="AH46" s="19"/>
      <c r="AI46" s="106">
        <v>5001</v>
      </c>
      <c r="AJ46" s="115">
        <v>19167</v>
      </c>
      <c r="AK46" s="113">
        <f t="shared" si="79"/>
        <v>1560</v>
      </c>
      <c r="AL46" s="13"/>
      <c r="AM46" s="64"/>
      <c r="AN46" s="52"/>
      <c r="AO46" s="51"/>
      <c r="AP46" s="41"/>
      <c r="AQ46" s="42"/>
      <c r="AR46" s="39"/>
      <c r="AS46" s="39"/>
      <c r="AT46" s="45"/>
      <c r="AU46" s="45"/>
      <c r="AV46" s="43"/>
    </row>
    <row r="47" spans="1:54" x14ac:dyDescent="0.25">
      <c r="A47" s="2"/>
      <c r="AH47" s="19"/>
      <c r="AI47" s="106">
        <v>19168</v>
      </c>
      <c r="AJ47" s="114"/>
      <c r="AK47" s="113">
        <f t="shared" si="79"/>
        <v>1666.66</v>
      </c>
      <c r="AL47" s="13"/>
      <c r="AM47" s="64"/>
      <c r="AN47" s="52"/>
      <c r="AO47" s="51"/>
      <c r="AP47" s="41"/>
      <c r="AQ47" s="42"/>
      <c r="AR47" s="39"/>
      <c r="AS47" s="39"/>
      <c r="AT47" s="45"/>
      <c r="AU47" s="45"/>
      <c r="AV47" s="43"/>
    </row>
    <row r="48" spans="1:54" x14ac:dyDescent="0.25">
      <c r="A48" s="2"/>
      <c r="AH48" s="19"/>
      <c r="AL48" s="13"/>
      <c r="AM48" s="64"/>
      <c r="AN48" s="52"/>
      <c r="AO48" s="51"/>
      <c r="AP48" s="41"/>
      <c r="AQ48" s="42"/>
      <c r="AR48" s="39"/>
      <c r="AS48" s="39"/>
      <c r="AT48" s="45"/>
      <c r="AU48" s="45"/>
      <c r="AV48" s="43"/>
    </row>
    <row r="49" spans="1:49" ht="15.75" thickBot="1" x14ac:dyDescent="0.3">
      <c r="A49" s="2"/>
      <c r="AH49" s="19"/>
      <c r="AN49" s="52"/>
      <c r="AO49" s="52"/>
      <c r="AP49" s="41"/>
      <c r="AQ49" s="42"/>
      <c r="AR49" s="39"/>
      <c r="AS49" s="39"/>
      <c r="AT49" s="45"/>
      <c r="AU49" s="45"/>
      <c r="AV49" s="43"/>
    </row>
    <row r="50" spans="1:49" x14ac:dyDescent="0.25">
      <c r="A50" s="2"/>
      <c r="AH50" s="19"/>
      <c r="AI50" s="69" t="s">
        <v>56</v>
      </c>
      <c r="AJ50" s="70"/>
      <c r="AK50" s="74"/>
      <c r="AL50" s="70"/>
      <c r="AM50" s="70"/>
      <c r="AN50" s="52"/>
      <c r="AO50" s="65" t="s">
        <v>55</v>
      </c>
      <c r="AP50" s="21"/>
      <c r="AQ50" s="21"/>
      <c r="AR50" s="21"/>
      <c r="AS50" s="21"/>
      <c r="AT50" s="2"/>
      <c r="AU50" s="2"/>
    </row>
    <row r="51" spans="1:49" ht="30" x14ac:dyDescent="0.25">
      <c r="AH51" s="19"/>
      <c r="AI51" s="21"/>
      <c r="AJ51" s="21"/>
      <c r="AK51" s="66"/>
      <c r="AL51" s="174" t="s">
        <v>0</v>
      </c>
      <c r="AM51" s="174" t="s">
        <v>1</v>
      </c>
      <c r="AN51" s="52"/>
      <c r="AO51" s="21"/>
      <c r="AP51" s="21"/>
      <c r="AQ51" s="21"/>
      <c r="AR51" s="102" t="s">
        <v>0</v>
      </c>
      <c r="AS51" s="102" t="s">
        <v>1</v>
      </c>
      <c r="AT51" s="2"/>
      <c r="AU51" s="2"/>
      <c r="AW51" s="55"/>
    </row>
    <row r="52" spans="1:49" x14ac:dyDescent="0.25">
      <c r="AH52" s="19"/>
      <c r="AI52" s="66"/>
      <c r="AJ52" s="66" t="s">
        <v>2</v>
      </c>
      <c r="AK52" s="66" t="s">
        <v>3</v>
      </c>
      <c r="AL52" s="174"/>
      <c r="AM52" s="174"/>
      <c r="AN52" s="52"/>
      <c r="AO52" s="21"/>
      <c r="AP52" s="66" t="s">
        <v>2</v>
      </c>
      <c r="AQ52" s="66" t="s">
        <v>3</v>
      </c>
      <c r="AR52" s="102"/>
      <c r="AS52" s="102"/>
      <c r="AT52" s="2"/>
      <c r="AU52" s="2"/>
    </row>
    <row r="53" spans="1:49" x14ac:dyDescent="0.25">
      <c r="AH53" s="19"/>
      <c r="AI53" s="67"/>
      <c r="AJ53" s="67">
        <v>2500</v>
      </c>
      <c r="AK53" s="75">
        <v>2828.9999999999995</v>
      </c>
      <c r="AL53" s="68">
        <v>13966.8</v>
      </c>
      <c r="AM53" s="68">
        <v>1163.8999999999999</v>
      </c>
      <c r="AN53" s="52"/>
      <c r="AO53" s="67"/>
      <c r="AP53" s="67">
        <v>2500</v>
      </c>
      <c r="AQ53" s="67">
        <v>2829</v>
      </c>
      <c r="AR53" s="68">
        <f t="shared" ref="AR53:AS55" si="80">AL53/2</f>
        <v>6983.4</v>
      </c>
      <c r="AS53" s="68">
        <f t="shared" si="80"/>
        <v>581.94999999999993</v>
      </c>
      <c r="AT53" s="2"/>
      <c r="AU53" s="2"/>
    </row>
    <row r="54" spans="1:49" x14ac:dyDescent="0.25">
      <c r="AH54" s="19"/>
      <c r="AI54" s="76"/>
      <c r="AJ54" s="76">
        <v>2829.9999999999995</v>
      </c>
      <c r="AK54" s="77">
        <v>3149</v>
      </c>
      <c r="AL54" s="68">
        <v>14514</v>
      </c>
      <c r="AM54" s="68">
        <v>1209.5</v>
      </c>
      <c r="AN54" s="52"/>
      <c r="AO54" s="67"/>
      <c r="AP54" s="67">
        <v>2830</v>
      </c>
      <c r="AQ54" s="67">
        <v>3149</v>
      </c>
      <c r="AR54" s="68">
        <f t="shared" si="80"/>
        <v>7257</v>
      </c>
      <c r="AS54" s="68">
        <f t="shared" si="80"/>
        <v>604.75</v>
      </c>
      <c r="AT54" s="2"/>
      <c r="AU54" s="2"/>
      <c r="AV54" s="2"/>
    </row>
    <row r="55" spans="1:49" x14ac:dyDescent="0.25">
      <c r="AH55" s="19"/>
      <c r="AI55" s="67"/>
      <c r="AJ55" s="67">
        <v>3150</v>
      </c>
      <c r="AK55" s="77" t="s">
        <v>4</v>
      </c>
      <c r="AL55" s="68">
        <v>15060</v>
      </c>
      <c r="AM55" s="68">
        <v>1255</v>
      </c>
      <c r="AN55" s="52"/>
      <c r="AO55" s="67"/>
      <c r="AP55" s="67">
        <v>3150</v>
      </c>
      <c r="AQ55" s="67" t="s">
        <v>4</v>
      </c>
      <c r="AR55" s="68">
        <f t="shared" si="80"/>
        <v>7530</v>
      </c>
      <c r="AS55" s="68">
        <f t="shared" si="80"/>
        <v>627.5</v>
      </c>
      <c r="AT55" s="2"/>
      <c r="AU55" s="2"/>
      <c r="AV55" s="2"/>
    </row>
    <row r="56" spans="1:49" x14ac:dyDescent="0.25">
      <c r="AH56" s="19"/>
      <c r="AN56" s="52"/>
      <c r="AO56" s="52"/>
      <c r="AP56" s="53"/>
      <c r="AQ56" s="54"/>
      <c r="AR56" s="2"/>
      <c r="AS56" s="2"/>
      <c r="AT56" s="2"/>
      <c r="AU56" s="2"/>
      <c r="AV56" s="2"/>
    </row>
    <row r="57" spans="1:49" x14ac:dyDescent="0.25">
      <c r="AH57" s="19"/>
      <c r="AN57" s="52"/>
      <c r="AO57" s="52"/>
      <c r="AP57" s="53"/>
      <c r="AQ57" s="54"/>
      <c r="AR57" s="2"/>
      <c r="AS57" s="2"/>
    </row>
    <row r="58" spans="1:49" x14ac:dyDescent="0.25">
      <c r="AH58" s="19"/>
      <c r="AI58" s="82" t="s">
        <v>52</v>
      </c>
      <c r="AJ58" s="78"/>
      <c r="AK58" s="78"/>
      <c r="AL58" s="79" t="s">
        <v>53</v>
      </c>
      <c r="AM58" s="80">
        <v>4480</v>
      </c>
      <c r="AN58" s="4" t="s">
        <v>40</v>
      </c>
      <c r="AR58" s="2"/>
      <c r="AS58" s="2"/>
    </row>
    <row r="59" spans="1:49" x14ac:dyDescent="0.25">
      <c r="AH59" s="19"/>
      <c r="AI59" s="78"/>
      <c r="AJ59" s="78"/>
      <c r="AK59" s="78"/>
      <c r="AL59" s="79" t="s">
        <v>54</v>
      </c>
      <c r="AM59" s="80">
        <v>1920</v>
      </c>
      <c r="AN59" s="4" t="s">
        <v>40</v>
      </c>
      <c r="AR59" s="2"/>
      <c r="AS59" s="2"/>
    </row>
    <row r="60" spans="1:49" x14ac:dyDescent="0.25">
      <c r="AH60" s="19"/>
      <c r="AR60" s="2"/>
      <c r="AS60" s="2"/>
    </row>
    <row r="61" spans="1:49" x14ac:dyDescent="0.25">
      <c r="AH61" s="19"/>
      <c r="AI61" s="82" t="s">
        <v>69</v>
      </c>
      <c r="AJ61" s="78"/>
      <c r="AK61" s="78"/>
      <c r="AL61" s="79" t="s">
        <v>29</v>
      </c>
      <c r="AM61" s="80">
        <v>3200</v>
      </c>
      <c r="AN61" s="4" t="s">
        <v>40</v>
      </c>
      <c r="AR61" s="2"/>
      <c r="AS61" s="2"/>
    </row>
    <row r="62" spans="1:49" x14ac:dyDescent="0.25">
      <c r="AI62" s="78"/>
      <c r="AJ62" s="78"/>
      <c r="AK62" s="78"/>
      <c r="AL62" s="79" t="s">
        <v>28</v>
      </c>
      <c r="AM62" s="80">
        <v>3200</v>
      </c>
      <c r="AN62" s="4" t="s">
        <v>40</v>
      </c>
      <c r="AR62" s="2"/>
      <c r="AS62" s="2"/>
    </row>
    <row r="63" spans="1:49" x14ac:dyDescent="0.25">
      <c r="AH63" s="19"/>
    </row>
    <row r="64" spans="1:49" x14ac:dyDescent="0.25">
      <c r="AH64" s="19"/>
    </row>
    <row r="65" spans="34:42" x14ac:dyDescent="0.25">
      <c r="AH65" s="19"/>
    </row>
    <row r="66" spans="34:42" x14ac:dyDescent="0.25">
      <c r="AH66" s="19"/>
    </row>
    <row r="67" spans="34:42" x14ac:dyDescent="0.25">
      <c r="AH67" s="19"/>
    </row>
    <row r="68" spans="34:42" x14ac:dyDescent="0.25">
      <c r="AH68" s="2"/>
    </row>
    <row r="69" spans="34:42" x14ac:dyDescent="0.25">
      <c r="AH69" s="2"/>
    </row>
    <row r="70" spans="34:42" x14ac:dyDescent="0.25">
      <c r="AH70" s="2"/>
    </row>
    <row r="71" spans="34:42" x14ac:dyDescent="0.25">
      <c r="AH71" s="2"/>
    </row>
    <row r="72" spans="34:42" x14ac:dyDescent="0.25">
      <c r="AH72" s="2"/>
    </row>
    <row r="73" spans="34:42" x14ac:dyDescent="0.25">
      <c r="AH73" s="2"/>
    </row>
    <row r="74" spans="34:42" x14ac:dyDescent="0.25">
      <c r="AH74" s="2"/>
    </row>
    <row r="75" spans="34:42" x14ac:dyDescent="0.25">
      <c r="AH75" s="2"/>
      <c r="AP75" s="17"/>
    </row>
    <row r="76" spans="34:42" x14ac:dyDescent="0.25">
      <c r="AH76" s="2"/>
    </row>
    <row r="77" spans="34:42" x14ac:dyDescent="0.25">
      <c r="AH77" s="2"/>
      <c r="AN77" s="16"/>
    </row>
    <row r="78" spans="34:42" x14ac:dyDescent="0.25">
      <c r="AH78" s="2"/>
      <c r="AN78" s="16"/>
      <c r="AO78" s="16"/>
    </row>
    <row r="79" spans="34:42" x14ac:dyDescent="0.25">
      <c r="AH79" s="2"/>
      <c r="AN79" s="16"/>
      <c r="AO79" s="16"/>
    </row>
    <row r="80" spans="34:42" ht="15" customHeight="1" x14ac:dyDescent="0.25">
      <c r="AH80" s="2"/>
      <c r="AN80" s="16"/>
      <c r="AO80" s="16"/>
    </row>
    <row r="81" spans="34:41" x14ac:dyDescent="0.25">
      <c r="AH81" s="2"/>
      <c r="AN81" s="16"/>
      <c r="AO81" s="16"/>
    </row>
    <row r="82" spans="34:41" x14ac:dyDescent="0.25">
      <c r="AH82" s="2"/>
      <c r="AN82" s="16"/>
      <c r="AO82" s="16"/>
    </row>
    <row r="83" spans="34:41" x14ac:dyDescent="0.25">
      <c r="AH83" s="2"/>
      <c r="AN83" s="16"/>
    </row>
    <row r="84" spans="34:41" x14ac:dyDescent="0.25">
      <c r="AH84" s="2"/>
      <c r="AN84" s="98"/>
    </row>
    <row r="85" spans="34:41" x14ac:dyDescent="0.25">
      <c r="AH85" s="2"/>
      <c r="AN85" s="16"/>
    </row>
    <row r="86" spans="34:41" x14ac:dyDescent="0.25">
      <c r="AH86" s="2"/>
      <c r="AN86" s="16"/>
    </row>
    <row r="87" spans="34:41" x14ac:dyDescent="0.25">
      <c r="AH87" s="2"/>
      <c r="AN87" s="16"/>
    </row>
    <row r="88" spans="34:41" x14ac:dyDescent="0.25">
      <c r="AH88" s="2"/>
      <c r="AN88" s="16"/>
    </row>
    <row r="89" spans="34:41" x14ac:dyDescent="0.25">
      <c r="AH89" s="2"/>
      <c r="AN89" s="16"/>
    </row>
    <row r="90" spans="34:41" x14ac:dyDescent="0.25">
      <c r="AH90" s="2"/>
      <c r="AN90" s="16"/>
    </row>
    <row r="91" spans="34:41" x14ac:dyDescent="0.25">
      <c r="AH91" s="2"/>
      <c r="AN91" s="16"/>
    </row>
    <row r="92" spans="34:41" x14ac:dyDescent="0.25">
      <c r="AH92" s="2"/>
      <c r="AN92" s="16"/>
    </row>
    <row r="93" spans="34:41" x14ac:dyDescent="0.25">
      <c r="AH93" s="2"/>
      <c r="AN93" s="16"/>
    </row>
    <row r="94" spans="34:41" x14ac:dyDescent="0.25">
      <c r="AH94" s="2"/>
      <c r="AN94" s="16"/>
    </row>
    <row r="95" spans="34:41" x14ac:dyDescent="0.25">
      <c r="AH95" s="2"/>
      <c r="AN95" s="16"/>
    </row>
    <row r="96" spans="34:41" x14ac:dyDescent="0.25">
      <c r="AH96" s="2"/>
      <c r="AN96" s="16"/>
    </row>
    <row r="97" spans="34:44" x14ac:dyDescent="0.25">
      <c r="AH97" s="2"/>
      <c r="AN97" s="16"/>
    </row>
    <row r="98" spans="34:44" x14ac:dyDescent="0.25">
      <c r="AH98" s="2"/>
      <c r="AR98" s="13"/>
    </row>
    <row r="99" spans="34:44" x14ac:dyDescent="0.25">
      <c r="AH99" s="2"/>
      <c r="AQ99" s="64"/>
      <c r="AR99" s="63"/>
    </row>
    <row r="100" spans="34:44" x14ac:dyDescent="0.25">
      <c r="AH100" s="2"/>
      <c r="AQ100" s="64"/>
      <c r="AR100" s="63"/>
    </row>
    <row r="101" spans="34:44" x14ac:dyDescent="0.25">
      <c r="AQ101" s="64"/>
      <c r="AR101" s="63"/>
    </row>
    <row r="102" spans="34:44" ht="15" customHeight="1" x14ac:dyDescent="0.25">
      <c r="AQ102" s="64"/>
      <c r="AR102" s="63"/>
    </row>
    <row r="103" spans="34:44" x14ac:dyDescent="0.25">
      <c r="AQ103" s="64"/>
      <c r="AR103" s="63"/>
    </row>
    <row r="109" spans="34:44" x14ac:dyDescent="0.25">
      <c r="AH109" s="2"/>
    </row>
    <row r="110" spans="34:44" x14ac:dyDescent="0.25">
      <c r="AH110" s="2"/>
    </row>
    <row r="111" spans="34:44" x14ac:dyDescent="0.25">
      <c r="AH111" s="18"/>
    </row>
    <row r="112" spans="34:44" x14ac:dyDescent="0.25">
      <c r="AH112" s="18"/>
    </row>
    <row r="113" spans="1:45" x14ac:dyDescent="0.25">
      <c r="AH113" s="18"/>
    </row>
    <row r="114" spans="1:45" x14ac:dyDescent="0.25">
      <c r="AH114" s="18"/>
    </row>
    <row r="115" spans="1:45" x14ac:dyDescent="0.25">
      <c r="AH115" s="18"/>
    </row>
    <row r="116" spans="1:45" x14ac:dyDescent="0.25">
      <c r="AH116" s="18"/>
    </row>
    <row r="117" spans="1:45" x14ac:dyDescent="0.25">
      <c r="AH117" s="18"/>
    </row>
    <row r="118" spans="1:45" s="4" customFormat="1" ht="18" customHeight="1" x14ac:dyDescent="0.25">
      <c r="A118" s="6"/>
      <c r="B118" s="13"/>
      <c r="C118" s="13"/>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18"/>
      <c r="AI118" s="6"/>
      <c r="AJ118" s="6"/>
      <c r="AK118" s="6"/>
      <c r="AL118" s="6"/>
      <c r="AM118" s="6"/>
      <c r="AN118" s="6"/>
      <c r="AO118" s="6"/>
      <c r="AP118" s="6"/>
      <c r="AQ118" s="6"/>
      <c r="AR118" s="6"/>
      <c r="AS118" s="6"/>
    </row>
    <row r="119" spans="1:45" s="4" customFormat="1" ht="18" customHeight="1" x14ac:dyDescent="0.25">
      <c r="A119" s="6"/>
      <c r="B119" s="13"/>
      <c r="C119" s="13"/>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18"/>
      <c r="AI119" s="6"/>
      <c r="AJ119" s="6"/>
      <c r="AK119" s="6"/>
      <c r="AL119" s="6"/>
      <c r="AM119" s="6"/>
      <c r="AN119" s="6"/>
      <c r="AO119" s="6"/>
      <c r="AP119" s="6"/>
      <c r="AQ119" s="6"/>
      <c r="AR119" s="6"/>
      <c r="AS119" s="6"/>
    </row>
    <row r="120" spans="1:45" x14ac:dyDescent="0.25">
      <c r="AH120" s="18"/>
    </row>
    <row r="121" spans="1:45" x14ac:dyDescent="0.25">
      <c r="AF121" s="4"/>
      <c r="AG121" s="4"/>
    </row>
    <row r="122" spans="1:45" x14ac:dyDescent="0.25">
      <c r="D122" s="4"/>
      <c r="E122" s="4"/>
      <c r="F122" s="4"/>
      <c r="AF122" s="4"/>
      <c r="AG122" s="4"/>
      <c r="AO122" s="4"/>
    </row>
    <row r="123" spans="1:45" x14ac:dyDescent="0.25">
      <c r="A123" s="4"/>
      <c r="B123" s="27"/>
      <c r="C123" s="27"/>
      <c r="D123" s="4"/>
      <c r="E123" s="4"/>
      <c r="F123" s="4"/>
      <c r="AO123" s="4"/>
    </row>
    <row r="124" spans="1:45" x14ac:dyDescent="0.25">
      <c r="A124" s="4"/>
      <c r="B124" s="27"/>
      <c r="C124" s="27"/>
      <c r="AP124" s="4"/>
      <c r="AQ124" s="4"/>
      <c r="AR124" s="4"/>
      <c r="AS124" s="4"/>
    </row>
    <row r="125" spans="1:45" x14ac:dyDescent="0.25">
      <c r="AH125" s="18"/>
      <c r="AP125" s="4"/>
      <c r="AQ125" s="4"/>
      <c r="AR125" s="4"/>
      <c r="AS125" s="4"/>
    </row>
    <row r="126" spans="1:45" x14ac:dyDescent="0.25">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H126" s="18"/>
    </row>
    <row r="127" spans="1:45" x14ac:dyDescent="0.25">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H127" s="18"/>
    </row>
    <row r="128" spans="1:45" x14ac:dyDescent="0.25">
      <c r="AH128" s="18"/>
    </row>
    <row r="129" spans="34:40" x14ac:dyDescent="0.25">
      <c r="AH129" s="18"/>
    </row>
    <row r="130" spans="34:40" x14ac:dyDescent="0.25">
      <c r="AH130" s="18"/>
    </row>
    <row r="131" spans="34:40" x14ac:dyDescent="0.25">
      <c r="AH131" s="18"/>
    </row>
    <row r="132" spans="34:40" x14ac:dyDescent="0.25">
      <c r="AH132" s="18"/>
    </row>
    <row r="133" spans="34:40" x14ac:dyDescent="0.25">
      <c r="AH133" s="18"/>
    </row>
    <row r="134" spans="34:40" x14ac:dyDescent="0.25">
      <c r="AH134" s="18"/>
    </row>
    <row r="135" spans="34:40" x14ac:dyDescent="0.25">
      <c r="AH135" s="18"/>
    </row>
    <row r="136" spans="34:40" x14ac:dyDescent="0.25">
      <c r="AH136" s="18"/>
    </row>
    <row r="137" spans="34:40" x14ac:dyDescent="0.25">
      <c r="AH137" s="18"/>
    </row>
    <row r="139" spans="34:40" x14ac:dyDescent="0.25">
      <c r="AN139" s="4"/>
    </row>
    <row r="140" spans="34:40" x14ac:dyDescent="0.25">
      <c r="AN140" s="4"/>
    </row>
    <row r="142" spans="34:40" x14ac:dyDescent="0.25">
      <c r="AN142" s="4"/>
    </row>
    <row r="143" spans="34:40" x14ac:dyDescent="0.25">
      <c r="AN143" s="4"/>
    </row>
  </sheetData>
  <mergeCells count="10">
    <mergeCell ref="AL51:AL52"/>
    <mergeCell ref="AM51:AM52"/>
    <mergeCell ref="H10:M10"/>
    <mergeCell ref="T10:Y10"/>
    <mergeCell ref="Z10:AE10"/>
    <mergeCell ref="D10:G10"/>
    <mergeCell ref="N10:S10"/>
    <mergeCell ref="H4:Y4"/>
    <mergeCell ref="AX38:AX39"/>
    <mergeCell ref="AY38:BB39"/>
  </mergeCells>
  <pageMargins left="0.7" right="0.7" top="0.75" bottom="0.75" header="0.3" footer="0.3"/>
  <pageSetup paperSize="9"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BA9E5"/>
  </sheetPr>
  <dimension ref="A1:V37"/>
  <sheetViews>
    <sheetView workbookViewId="0">
      <selection activeCell="C1" sqref="C1"/>
    </sheetView>
  </sheetViews>
  <sheetFormatPr defaultRowHeight="15" x14ac:dyDescent="0.25"/>
  <cols>
    <col min="1" max="6" width="13.28515625" style="6" customWidth="1"/>
    <col min="7" max="8" width="9.140625" style="6"/>
    <col min="9" max="9" width="12" style="6" customWidth="1"/>
    <col min="10" max="10" width="13.42578125" style="6" customWidth="1"/>
    <col min="11" max="11" width="12.140625" style="6" customWidth="1"/>
    <col min="12" max="12" width="13.7109375" style="6" customWidth="1"/>
    <col min="13" max="13" width="12" style="6" customWidth="1"/>
    <col min="14" max="14" width="12.7109375" style="6" customWidth="1"/>
    <col min="15" max="17" width="9.140625" style="6"/>
    <col min="18" max="18" width="14.140625" style="6" customWidth="1"/>
    <col min="19" max="19" width="13.7109375" style="6" customWidth="1"/>
    <col min="20" max="20" width="13.42578125" style="6" customWidth="1"/>
    <col min="21" max="21" width="11.7109375" style="6" customWidth="1"/>
    <col min="22" max="22" width="11.85546875" style="6" customWidth="1"/>
    <col min="23" max="16384" width="9.140625" style="6"/>
  </cols>
  <sheetData>
    <row r="1" spans="1:21" ht="36" customHeight="1" x14ac:dyDescent="0.35">
      <c r="A1" s="86" t="s">
        <v>87</v>
      </c>
      <c r="I1" s="86" t="s">
        <v>88</v>
      </c>
      <c r="Q1" s="86" t="s">
        <v>90</v>
      </c>
    </row>
    <row r="2" spans="1:21" ht="30" customHeight="1" thickBot="1" x14ac:dyDescent="0.3">
      <c r="A2" s="176" t="s">
        <v>49</v>
      </c>
      <c r="B2" s="176"/>
      <c r="C2" s="176"/>
      <c r="D2" s="176"/>
      <c r="E2" s="176"/>
      <c r="I2" s="176" t="s">
        <v>91</v>
      </c>
      <c r="J2" s="176"/>
      <c r="K2" s="176"/>
      <c r="L2" s="176"/>
      <c r="M2" s="176"/>
      <c r="Q2" s="176" t="s">
        <v>92</v>
      </c>
      <c r="R2" s="176"/>
      <c r="S2" s="176"/>
      <c r="T2" s="176"/>
      <c r="U2" s="176"/>
    </row>
    <row r="3" spans="1:21" ht="52.5" thickBot="1" x14ac:dyDescent="0.3">
      <c r="A3" s="87" t="s">
        <v>33</v>
      </c>
      <c r="B3" s="87" t="s">
        <v>34</v>
      </c>
      <c r="C3" s="87" t="s">
        <v>35</v>
      </c>
      <c r="D3" s="88" t="s">
        <v>36</v>
      </c>
      <c r="E3" s="88" t="s">
        <v>37</v>
      </c>
      <c r="I3" s="87" t="s">
        <v>33</v>
      </c>
      <c r="J3" s="87" t="s">
        <v>34</v>
      </c>
      <c r="K3" s="87" t="s">
        <v>35</v>
      </c>
      <c r="L3" s="88" t="s">
        <v>36</v>
      </c>
      <c r="M3" s="88" t="s">
        <v>37</v>
      </c>
      <c r="Q3" s="87" t="s">
        <v>33</v>
      </c>
      <c r="R3" s="87" t="s">
        <v>34</v>
      </c>
      <c r="S3" s="87" t="s">
        <v>35</v>
      </c>
      <c r="T3" s="88" t="s">
        <v>36</v>
      </c>
      <c r="U3" s="88" t="s">
        <v>37</v>
      </c>
    </row>
    <row r="4" spans="1:21" x14ac:dyDescent="0.25">
      <c r="A4" s="89">
        <v>1000</v>
      </c>
      <c r="B4" s="90">
        <f>E23</f>
        <v>1353.9012584704744</v>
      </c>
      <c r="C4" s="90">
        <f>(Cashflow!$AM$26)*'Indicative Income Tables'!A4</f>
        <v>774.44336882865434</v>
      </c>
      <c r="D4" s="91">
        <f>C4+B4</f>
        <v>2128.3446272991287</v>
      </c>
      <c r="E4" s="92">
        <f>D4/A4</f>
        <v>2.1283446272991289</v>
      </c>
      <c r="I4" s="89">
        <v>1000</v>
      </c>
      <c r="J4" s="90">
        <f>N23</f>
        <v>1463.9012584704744</v>
      </c>
      <c r="K4" s="90">
        <f>(Cashflow!$AM$26)*'Indicative Income Tables'!I4</f>
        <v>774.44336882865434</v>
      </c>
      <c r="L4" s="91">
        <f>K4+J4</f>
        <v>2238.3446272991287</v>
      </c>
      <c r="M4" s="92">
        <f>L4/I4</f>
        <v>2.2383446272991288</v>
      </c>
      <c r="Q4" s="89">
        <v>1000</v>
      </c>
      <c r="R4" s="90">
        <f>U23</f>
        <v>1563.9012584704744</v>
      </c>
      <c r="S4" s="90">
        <f>(Cashflow!$AS$26)*'Indicative Income Tables'!Q4</f>
        <v>774.44336882865434</v>
      </c>
      <c r="T4" s="91">
        <f>S4+R4</f>
        <v>2338.3446272991287</v>
      </c>
      <c r="U4" s="92">
        <f>T4/Q4</f>
        <v>2.3383446272991288</v>
      </c>
    </row>
    <row r="5" spans="1:21" x14ac:dyDescent="0.25">
      <c r="A5" s="89">
        <v>2000</v>
      </c>
      <c r="B5" s="90">
        <f>E24</f>
        <v>2707.8025169409489</v>
      </c>
      <c r="C5" s="90">
        <f>(Cashflow!$AM$26)*'Indicative Income Tables'!A5</f>
        <v>1548.8867376573087</v>
      </c>
      <c r="D5" s="91">
        <f t="shared" ref="D5:D18" si="0">C5+B5</f>
        <v>4256.6892545982573</v>
      </c>
      <c r="E5" s="92">
        <f t="shared" ref="E5:E18" si="1">D5/A5</f>
        <v>2.1283446272991289</v>
      </c>
      <c r="I5" s="89">
        <v>2000</v>
      </c>
      <c r="J5" s="90">
        <f>N24</f>
        <v>2827.8025169409489</v>
      </c>
      <c r="K5" s="90">
        <f>(Cashflow!$AM$26)*'Indicative Income Tables'!I5</f>
        <v>1548.8867376573087</v>
      </c>
      <c r="L5" s="91">
        <f t="shared" ref="L5:L18" si="2">K5+J5</f>
        <v>4376.6892545982573</v>
      </c>
      <c r="M5" s="92">
        <f t="shared" ref="M5:M18" si="3">L5/I5</f>
        <v>2.1883446272991285</v>
      </c>
      <c r="Q5" s="89">
        <v>2000</v>
      </c>
      <c r="R5" s="90">
        <f>U24</f>
        <v>2927.8025169409489</v>
      </c>
      <c r="S5" s="90">
        <f>(Cashflow!$AS$26)*'Indicative Income Tables'!Q5</f>
        <v>1548.8867376573087</v>
      </c>
      <c r="T5" s="91">
        <f t="shared" ref="T5:T18" si="4">S5+R5</f>
        <v>4476.6892545982573</v>
      </c>
      <c r="U5" s="92">
        <f t="shared" ref="U5:U18" si="5">T5/Q5</f>
        <v>2.2383446272991288</v>
      </c>
    </row>
    <row r="6" spans="1:21" x14ac:dyDescent="0.25">
      <c r="A6" s="89">
        <v>2500</v>
      </c>
      <c r="B6" s="90">
        <f t="shared" ref="B6:B18" si="6">E25</f>
        <v>4548.6531461761861</v>
      </c>
      <c r="C6" s="90">
        <f>(Cashflow!$AM$26)*'Indicative Income Tables'!A6</f>
        <v>1936.1084220716359</v>
      </c>
      <c r="D6" s="91">
        <f t="shared" si="0"/>
        <v>6484.7615682478217</v>
      </c>
      <c r="E6" s="92">
        <f t="shared" si="1"/>
        <v>2.5939046272991289</v>
      </c>
      <c r="I6" s="89">
        <v>2500</v>
      </c>
      <c r="J6" s="90">
        <f t="shared" ref="J6:J18" si="7">N25</f>
        <v>4091.7031461761858</v>
      </c>
      <c r="K6" s="90">
        <f>(Cashflow!$AM$26)*'Indicative Income Tables'!I6</f>
        <v>1936.1084220716359</v>
      </c>
      <c r="L6" s="91">
        <f t="shared" si="2"/>
        <v>6027.8115682478219</v>
      </c>
      <c r="M6" s="92">
        <f t="shared" si="3"/>
        <v>2.4111246272991287</v>
      </c>
      <c r="Q6" s="89">
        <v>2500</v>
      </c>
      <c r="R6" s="90">
        <f t="shared" ref="R6:R18" si="8">U25</f>
        <v>3609.753146176186</v>
      </c>
      <c r="S6" s="90">
        <f>(Cashflow!$AS$26)*'Indicative Income Tables'!Q6</f>
        <v>1936.1084220716359</v>
      </c>
      <c r="T6" s="91">
        <f t="shared" si="4"/>
        <v>5545.8615682478221</v>
      </c>
      <c r="U6" s="92">
        <f t="shared" si="5"/>
        <v>2.2183446272991287</v>
      </c>
    </row>
    <row r="7" spans="1:21" x14ac:dyDescent="0.25">
      <c r="A7" s="89">
        <v>2830</v>
      </c>
      <c r="B7" s="90">
        <f t="shared" si="6"/>
        <v>5041.0405614714427</v>
      </c>
      <c r="C7" s="90">
        <f>(Cashflow!$AM$26)*'Indicative Income Tables'!A7</f>
        <v>2191.674733785092</v>
      </c>
      <c r="D7" s="91">
        <f t="shared" si="0"/>
        <v>7232.7152952565348</v>
      </c>
      <c r="E7" s="92">
        <f t="shared" si="1"/>
        <v>2.5557297863097297</v>
      </c>
      <c r="I7" s="89">
        <v>2830</v>
      </c>
      <c r="J7" s="90">
        <f t="shared" si="7"/>
        <v>5164.590561471442</v>
      </c>
      <c r="K7" s="90">
        <f>(Cashflow!$AM$26)*'Indicative Income Tables'!I7</f>
        <v>2191.674733785092</v>
      </c>
      <c r="L7" s="91">
        <f t="shared" si="2"/>
        <v>7356.265295256534</v>
      </c>
      <c r="M7" s="92">
        <f t="shared" si="3"/>
        <v>2.5993870301259836</v>
      </c>
      <c r="Q7" s="89">
        <v>2830</v>
      </c>
      <c r="R7" s="90">
        <f t="shared" si="8"/>
        <v>5259.8405614714429</v>
      </c>
      <c r="S7" s="90">
        <f>(Cashflow!$AS$26)*'Indicative Income Tables'!Q7</f>
        <v>2191.674733785092</v>
      </c>
      <c r="T7" s="91">
        <f t="shared" si="4"/>
        <v>7451.515295256535</v>
      </c>
      <c r="U7" s="92">
        <f t="shared" si="5"/>
        <v>2.6330442739422386</v>
      </c>
    </row>
    <row r="8" spans="1:21" x14ac:dyDescent="0.25">
      <c r="A8" s="89">
        <v>3150</v>
      </c>
      <c r="B8" s="90">
        <f t="shared" si="6"/>
        <v>5519.7889641819947</v>
      </c>
      <c r="C8" s="90">
        <f>(Cashflow!$AM$26)*'Indicative Income Tables'!A8</f>
        <v>2439.4966118102611</v>
      </c>
      <c r="D8" s="91">
        <f t="shared" si="0"/>
        <v>7959.2855759922559</v>
      </c>
      <c r="E8" s="92">
        <f t="shared" si="1"/>
        <v>2.5267573257118272</v>
      </c>
      <c r="I8" s="89">
        <v>3150</v>
      </c>
      <c r="J8" s="90">
        <f t="shared" si="7"/>
        <v>5623.7889641819938</v>
      </c>
      <c r="K8" s="90">
        <f>(Cashflow!$AM$26)*'Indicative Income Tables'!I8</f>
        <v>2439.4966118102611</v>
      </c>
      <c r="L8" s="91">
        <f t="shared" si="2"/>
        <v>8063.285575992255</v>
      </c>
      <c r="M8" s="92">
        <f t="shared" si="3"/>
        <v>2.5597731987276999</v>
      </c>
      <c r="Q8" s="89">
        <v>3150</v>
      </c>
      <c r="R8" s="90">
        <f t="shared" si="8"/>
        <v>5696.2889641819938</v>
      </c>
      <c r="S8" s="90">
        <f>(Cashflow!$AS$26)*'Indicative Income Tables'!Q8</f>
        <v>2439.4966118102611</v>
      </c>
      <c r="T8" s="91">
        <f t="shared" si="4"/>
        <v>8135.785575992255</v>
      </c>
      <c r="U8" s="92">
        <f t="shared" si="5"/>
        <v>2.5827890717435729</v>
      </c>
    </row>
    <row r="9" spans="1:21" x14ac:dyDescent="0.25">
      <c r="A9" s="89">
        <v>4000</v>
      </c>
      <c r="B9" s="90">
        <f t="shared" si="6"/>
        <v>6670.6050338818968</v>
      </c>
      <c r="C9" s="90">
        <f>(Cashflow!$AM$26)*'Indicative Income Tables'!A9</f>
        <v>3097.7734753146174</v>
      </c>
      <c r="D9" s="91">
        <f t="shared" si="0"/>
        <v>9768.3785091965146</v>
      </c>
      <c r="E9" s="92">
        <f t="shared" si="1"/>
        <v>2.4420946272991286</v>
      </c>
      <c r="I9" s="89">
        <v>4000</v>
      </c>
      <c r="J9" s="90">
        <f t="shared" si="7"/>
        <v>6783.1050338818977</v>
      </c>
      <c r="K9" s="90">
        <f>(Cashflow!$AM$26)*'Indicative Income Tables'!I9</f>
        <v>3097.7734753146174</v>
      </c>
      <c r="L9" s="91">
        <f t="shared" si="2"/>
        <v>9880.8785091965146</v>
      </c>
      <c r="M9" s="92">
        <f t="shared" si="3"/>
        <v>2.4702196272991288</v>
      </c>
      <c r="Q9" s="89">
        <v>4000</v>
      </c>
      <c r="R9" s="90">
        <f t="shared" si="8"/>
        <v>6855.6050338818977</v>
      </c>
      <c r="S9" s="90">
        <f>(Cashflow!$AS$26)*'Indicative Income Tables'!Q9</f>
        <v>3097.7734753146174</v>
      </c>
      <c r="T9" s="91">
        <f t="shared" si="4"/>
        <v>9953.3785091965146</v>
      </c>
      <c r="U9" s="92">
        <f t="shared" si="5"/>
        <v>2.4883446272991288</v>
      </c>
    </row>
    <row r="10" spans="1:21" x14ac:dyDescent="0.25">
      <c r="A10" s="89">
        <v>5000</v>
      </c>
      <c r="B10" s="90">
        <f t="shared" si="6"/>
        <v>8024.5062923523719</v>
      </c>
      <c r="C10" s="90">
        <f>(Cashflow!$AM$26)*'Indicative Income Tables'!A10</f>
        <v>3872.2168441432718</v>
      </c>
      <c r="D10" s="91">
        <f t="shared" si="0"/>
        <v>11896.723136495644</v>
      </c>
      <c r="E10" s="92">
        <f t="shared" si="1"/>
        <v>2.3793446272991288</v>
      </c>
      <c r="I10" s="89">
        <v>5000</v>
      </c>
      <c r="J10" s="90">
        <f t="shared" si="7"/>
        <v>8147.0062923523719</v>
      </c>
      <c r="K10" s="90">
        <f>(Cashflow!$AM$26)*'Indicative Income Tables'!I10</f>
        <v>3872.2168441432718</v>
      </c>
      <c r="L10" s="91">
        <f t="shared" si="2"/>
        <v>12019.223136495644</v>
      </c>
      <c r="M10" s="92">
        <f t="shared" si="3"/>
        <v>2.403844627299129</v>
      </c>
      <c r="Q10" s="89">
        <v>5000</v>
      </c>
      <c r="R10" s="90">
        <f t="shared" si="8"/>
        <v>8219.5062923523728</v>
      </c>
      <c r="S10" s="90">
        <f>(Cashflow!$AS$26)*'Indicative Income Tables'!Q10</f>
        <v>3872.2168441432718</v>
      </c>
      <c r="T10" s="91">
        <f t="shared" si="4"/>
        <v>12091.723136495644</v>
      </c>
      <c r="U10" s="92">
        <f t="shared" si="5"/>
        <v>2.4183446272991289</v>
      </c>
    </row>
    <row r="11" spans="1:21" x14ac:dyDescent="0.25">
      <c r="A11" s="89">
        <v>6000</v>
      </c>
      <c r="B11" s="90">
        <f t="shared" si="6"/>
        <v>9378.4075508228452</v>
      </c>
      <c r="C11" s="90">
        <f>(Cashflow!$AM$26)*'Indicative Income Tables'!A11</f>
        <v>4646.6602129719267</v>
      </c>
      <c r="D11" s="91">
        <f t="shared" si="0"/>
        <v>14025.067763794772</v>
      </c>
      <c r="E11" s="92">
        <f t="shared" si="1"/>
        <v>2.3375112939657954</v>
      </c>
      <c r="I11" s="89">
        <v>6000</v>
      </c>
      <c r="J11" s="90">
        <f t="shared" si="7"/>
        <v>9590.9075508228452</v>
      </c>
      <c r="K11" s="90">
        <f>(Cashflow!$AM$26)*'Indicative Income Tables'!I11</f>
        <v>4646.6602129719267</v>
      </c>
      <c r="L11" s="91">
        <f t="shared" si="2"/>
        <v>14237.567763794772</v>
      </c>
      <c r="M11" s="92">
        <f t="shared" si="3"/>
        <v>2.3729279606324618</v>
      </c>
      <c r="Q11" s="89">
        <v>6000</v>
      </c>
      <c r="R11" s="90">
        <f t="shared" si="8"/>
        <v>9743.4075508228452</v>
      </c>
      <c r="S11" s="90">
        <f>(Cashflow!$AS$26)*'Indicative Income Tables'!Q11</f>
        <v>4646.6602129719267</v>
      </c>
      <c r="T11" s="91">
        <f t="shared" si="4"/>
        <v>14390.067763794772</v>
      </c>
      <c r="U11" s="92">
        <f t="shared" si="5"/>
        <v>2.3983446272991285</v>
      </c>
    </row>
    <row r="12" spans="1:21" x14ac:dyDescent="0.25">
      <c r="A12" s="89">
        <v>7000</v>
      </c>
      <c r="B12" s="90">
        <f t="shared" si="6"/>
        <v>10732.308809293321</v>
      </c>
      <c r="C12" s="90">
        <f>(Cashflow!$AM$26)*'Indicative Income Tables'!A12</f>
        <v>5421.1035818005803</v>
      </c>
      <c r="D12" s="91">
        <f t="shared" si="0"/>
        <v>16153.412391093902</v>
      </c>
      <c r="E12" s="92">
        <f t="shared" si="1"/>
        <v>2.3076303415848431</v>
      </c>
      <c r="I12" s="89">
        <v>7000</v>
      </c>
      <c r="J12" s="90">
        <f t="shared" si="7"/>
        <v>10954.808809293321</v>
      </c>
      <c r="K12" s="90">
        <f>(Cashflow!$AM$26)*'Indicative Income Tables'!I12</f>
        <v>5421.1035818005803</v>
      </c>
      <c r="L12" s="91">
        <f t="shared" si="2"/>
        <v>16375.912391093902</v>
      </c>
      <c r="M12" s="92">
        <f t="shared" si="3"/>
        <v>2.3394160558705575</v>
      </c>
      <c r="Q12" s="89">
        <v>7000</v>
      </c>
      <c r="R12" s="90">
        <f t="shared" si="8"/>
        <v>11107.308809293321</v>
      </c>
      <c r="S12" s="90">
        <f>(Cashflow!$AS$26)*'Indicative Income Tables'!Q12</f>
        <v>5421.1035818005803</v>
      </c>
      <c r="T12" s="91">
        <f t="shared" si="4"/>
        <v>16528.412391093902</v>
      </c>
      <c r="U12" s="92">
        <f t="shared" si="5"/>
        <v>2.3612017701562715</v>
      </c>
    </row>
    <row r="13" spans="1:21" x14ac:dyDescent="0.25">
      <c r="A13" s="89">
        <v>8000</v>
      </c>
      <c r="B13" s="90">
        <f t="shared" si="6"/>
        <v>12086.210067763795</v>
      </c>
      <c r="C13" s="90">
        <f>(Cashflow!$AM$26)*'Indicative Income Tables'!A13</f>
        <v>6195.5469506292347</v>
      </c>
      <c r="D13" s="91">
        <f t="shared" si="0"/>
        <v>18281.757018393029</v>
      </c>
      <c r="E13" s="92">
        <f t="shared" si="1"/>
        <v>2.2852196272991288</v>
      </c>
      <c r="I13" s="89">
        <v>8000</v>
      </c>
      <c r="J13" s="90">
        <f t="shared" si="7"/>
        <v>12318.710067763795</v>
      </c>
      <c r="K13" s="90">
        <f>(Cashflow!$AM$26)*'Indicative Income Tables'!I13</f>
        <v>6195.5469506292347</v>
      </c>
      <c r="L13" s="91">
        <f t="shared" si="2"/>
        <v>18514.257018393029</v>
      </c>
      <c r="M13" s="92">
        <f t="shared" si="3"/>
        <v>2.3142821272991285</v>
      </c>
      <c r="Q13" s="89">
        <v>8000</v>
      </c>
      <c r="R13" s="90">
        <f t="shared" si="8"/>
        <v>12471.210067763795</v>
      </c>
      <c r="S13" s="90">
        <f>(Cashflow!$AS$26)*'Indicative Income Tables'!Q13</f>
        <v>6195.5469506292347</v>
      </c>
      <c r="T13" s="91">
        <f t="shared" si="4"/>
        <v>18666.757018393029</v>
      </c>
      <c r="U13" s="92">
        <f t="shared" si="5"/>
        <v>2.3333446272991285</v>
      </c>
    </row>
    <row r="14" spans="1:21" x14ac:dyDescent="0.25">
      <c r="A14" s="89">
        <v>9000</v>
      </c>
      <c r="B14" s="90">
        <f t="shared" si="6"/>
        <v>13440.11132623427</v>
      </c>
      <c r="C14" s="90">
        <f>(Cashflow!$AM$26)*'Indicative Income Tables'!A14</f>
        <v>6969.9903194578892</v>
      </c>
      <c r="D14" s="91">
        <f t="shared" si="0"/>
        <v>20410.101645692157</v>
      </c>
      <c r="E14" s="92">
        <f t="shared" si="1"/>
        <v>2.2677890717435729</v>
      </c>
      <c r="I14" s="89">
        <v>9000</v>
      </c>
      <c r="J14" s="90">
        <f t="shared" si="7"/>
        <v>13682.61132623427</v>
      </c>
      <c r="K14" s="90">
        <f>(Cashflow!$AM$26)*'Indicative Income Tables'!I14</f>
        <v>6969.9903194578892</v>
      </c>
      <c r="L14" s="91">
        <f t="shared" si="2"/>
        <v>20652.601645692157</v>
      </c>
      <c r="M14" s="92">
        <f t="shared" si="3"/>
        <v>2.2947335161880176</v>
      </c>
      <c r="Q14" s="89">
        <v>9000</v>
      </c>
      <c r="R14" s="90">
        <f t="shared" si="8"/>
        <v>13835.11132623427</v>
      </c>
      <c r="S14" s="90">
        <f>(Cashflow!$AS$26)*'Indicative Income Tables'!Q14</f>
        <v>6969.9903194578892</v>
      </c>
      <c r="T14" s="91">
        <f t="shared" si="4"/>
        <v>20805.101645692157</v>
      </c>
      <c r="U14" s="92">
        <f t="shared" si="5"/>
        <v>2.311677960632462</v>
      </c>
    </row>
    <row r="15" spans="1:21" x14ac:dyDescent="0.25">
      <c r="A15" s="89">
        <v>10000</v>
      </c>
      <c r="B15" s="90">
        <f t="shared" si="6"/>
        <v>14794.012584704744</v>
      </c>
      <c r="C15" s="90">
        <f>(Cashflow!$AM$26)*'Indicative Income Tables'!A15</f>
        <v>7744.4336882865437</v>
      </c>
      <c r="D15" s="91">
        <f t="shared" si="0"/>
        <v>22538.446272991288</v>
      </c>
      <c r="E15" s="92">
        <f t="shared" si="1"/>
        <v>2.253844627299129</v>
      </c>
      <c r="I15" s="89">
        <v>10000</v>
      </c>
      <c r="J15" s="90">
        <f t="shared" si="7"/>
        <v>15046.512584704744</v>
      </c>
      <c r="K15" s="90">
        <f>(Cashflow!$AM$26)*'Indicative Income Tables'!I15</f>
        <v>7744.4336882865437</v>
      </c>
      <c r="L15" s="91">
        <f t="shared" si="2"/>
        <v>22790.946272991288</v>
      </c>
      <c r="M15" s="92">
        <f t="shared" si="3"/>
        <v>2.2790946272991288</v>
      </c>
      <c r="Q15" s="89">
        <v>10000</v>
      </c>
      <c r="R15" s="90">
        <f t="shared" si="8"/>
        <v>15199.012584704744</v>
      </c>
      <c r="S15" s="90">
        <f>(Cashflow!$AS$26)*'Indicative Income Tables'!Q15</f>
        <v>7744.4336882865437</v>
      </c>
      <c r="T15" s="91">
        <f t="shared" si="4"/>
        <v>22943.446272991288</v>
      </c>
      <c r="U15" s="92">
        <f t="shared" si="5"/>
        <v>2.2943446272991288</v>
      </c>
    </row>
    <row r="16" spans="1:21" x14ac:dyDescent="0.25">
      <c r="A16" s="89">
        <v>11000</v>
      </c>
      <c r="B16" s="90">
        <f t="shared" si="6"/>
        <v>16147.913843175218</v>
      </c>
      <c r="C16" s="90">
        <f>(Cashflow!$AM$26)*'Indicative Income Tables'!A16</f>
        <v>8518.8770571151981</v>
      </c>
      <c r="D16" s="91">
        <f t="shared" si="0"/>
        <v>24666.790900290416</v>
      </c>
      <c r="E16" s="92">
        <f t="shared" si="1"/>
        <v>2.2424355363900377</v>
      </c>
      <c r="I16" s="89">
        <v>11000</v>
      </c>
      <c r="J16" s="90">
        <f t="shared" si="7"/>
        <v>16410.413843175218</v>
      </c>
      <c r="K16" s="90">
        <f>(Cashflow!$AM$26)*'Indicative Income Tables'!I16</f>
        <v>8518.8770571151981</v>
      </c>
      <c r="L16" s="91">
        <f t="shared" si="2"/>
        <v>24929.290900290416</v>
      </c>
      <c r="M16" s="92">
        <f t="shared" si="3"/>
        <v>2.2662991727536741</v>
      </c>
      <c r="Q16" s="89">
        <v>11000</v>
      </c>
      <c r="R16" s="90">
        <f t="shared" si="8"/>
        <v>16562.913843175218</v>
      </c>
      <c r="S16" s="90">
        <f>(Cashflow!$AS$26)*'Indicative Income Tables'!Q16</f>
        <v>8518.8770571151981</v>
      </c>
      <c r="T16" s="91">
        <f t="shared" si="4"/>
        <v>25081.790900290416</v>
      </c>
      <c r="U16" s="92">
        <f t="shared" si="5"/>
        <v>2.2801628091173107</v>
      </c>
    </row>
    <row r="17" spans="1:22" x14ac:dyDescent="0.25">
      <c r="A17" s="89">
        <v>13000</v>
      </c>
      <c r="B17" s="90">
        <f t="shared" si="6"/>
        <v>18855.716360116166</v>
      </c>
      <c r="C17" s="90">
        <f>(Cashflow!$AM$26)*'Indicative Income Tables'!A17</f>
        <v>10067.763794772507</v>
      </c>
      <c r="D17" s="91">
        <f t="shared" si="0"/>
        <v>28923.480154888675</v>
      </c>
      <c r="E17" s="92">
        <f t="shared" si="1"/>
        <v>2.2248830888375903</v>
      </c>
      <c r="I17" s="89">
        <v>13000</v>
      </c>
      <c r="J17" s="90">
        <f t="shared" si="7"/>
        <v>19138.216360116166</v>
      </c>
      <c r="K17" s="90">
        <f>(Cashflow!$AM$26)*'Indicative Income Tables'!I17</f>
        <v>10067.763794772507</v>
      </c>
      <c r="L17" s="91">
        <f t="shared" si="2"/>
        <v>29205.980154888675</v>
      </c>
      <c r="M17" s="92">
        <f t="shared" si="3"/>
        <v>2.2466138580683594</v>
      </c>
      <c r="Q17" s="89">
        <v>13000</v>
      </c>
      <c r="R17" s="90">
        <f t="shared" si="8"/>
        <v>19290.716360116166</v>
      </c>
      <c r="S17" s="90">
        <f>(Cashflow!$AS$26)*'Indicative Income Tables'!Q17</f>
        <v>10067.763794772507</v>
      </c>
      <c r="T17" s="91">
        <f t="shared" si="4"/>
        <v>29358.480154888675</v>
      </c>
      <c r="U17" s="92">
        <f t="shared" si="5"/>
        <v>2.2583446272991288</v>
      </c>
    </row>
    <row r="18" spans="1:22" ht="15.75" thickBot="1" x14ac:dyDescent="0.3">
      <c r="A18" s="89">
        <v>15000</v>
      </c>
      <c r="B18" s="90">
        <f t="shared" si="6"/>
        <v>21563.518877057115</v>
      </c>
      <c r="C18" s="90">
        <f>(Cashflow!$AM$26)*'Indicative Income Tables'!A18</f>
        <v>11616.650532429816</v>
      </c>
      <c r="D18" s="93">
        <f t="shared" si="0"/>
        <v>33180.169409486931</v>
      </c>
      <c r="E18" s="94">
        <f t="shared" si="1"/>
        <v>2.2120112939657952</v>
      </c>
      <c r="I18" s="89">
        <v>15000</v>
      </c>
      <c r="J18" s="90">
        <f t="shared" si="7"/>
        <v>21866.018877057115</v>
      </c>
      <c r="K18" s="90">
        <f>(Cashflow!$AM$26)*'Indicative Income Tables'!I18</f>
        <v>11616.650532429816</v>
      </c>
      <c r="L18" s="93">
        <f t="shared" si="2"/>
        <v>33482.669409486931</v>
      </c>
      <c r="M18" s="94">
        <f t="shared" si="3"/>
        <v>2.2321779606324621</v>
      </c>
      <c r="Q18" s="89">
        <v>15000</v>
      </c>
      <c r="R18" s="90">
        <f t="shared" si="8"/>
        <v>22018.518877057115</v>
      </c>
      <c r="S18" s="90">
        <f>(Cashflow!$AS$26)*'Indicative Income Tables'!Q18</f>
        <v>11616.650532429816</v>
      </c>
      <c r="T18" s="93">
        <f t="shared" si="4"/>
        <v>33635.169409486931</v>
      </c>
      <c r="U18" s="94">
        <f t="shared" si="5"/>
        <v>2.2423446272991288</v>
      </c>
    </row>
    <row r="21" spans="1:22" ht="27" customHeight="1" thickBot="1" x14ac:dyDescent="0.3">
      <c r="A21" s="176" t="s">
        <v>50</v>
      </c>
      <c r="B21" s="176"/>
      <c r="C21" s="176"/>
      <c r="D21" s="176"/>
      <c r="E21" s="176"/>
      <c r="F21" s="176"/>
      <c r="I21" s="176" t="s">
        <v>93</v>
      </c>
      <c r="J21" s="176"/>
      <c r="K21" s="176"/>
      <c r="L21" s="176"/>
      <c r="M21" s="176"/>
      <c r="N21" s="176"/>
      <c r="Q21" s="176" t="s">
        <v>94</v>
      </c>
      <c r="R21" s="176"/>
      <c r="S21" s="176"/>
      <c r="T21" s="176"/>
      <c r="U21" s="176"/>
      <c r="V21" s="176"/>
    </row>
    <row r="22" spans="1:22" ht="54" customHeight="1" thickBot="1" x14ac:dyDescent="0.3">
      <c r="A22" s="87" t="s">
        <v>33</v>
      </c>
      <c r="B22" s="87" t="s">
        <v>6</v>
      </c>
      <c r="C22" s="87" t="s">
        <v>38</v>
      </c>
      <c r="D22" s="87" t="s">
        <v>39</v>
      </c>
      <c r="E22" s="88" t="s">
        <v>34</v>
      </c>
      <c r="F22" s="88" t="s">
        <v>37</v>
      </c>
      <c r="I22" s="87" t="s">
        <v>33</v>
      </c>
      <c r="J22" s="87" t="s">
        <v>6</v>
      </c>
      <c r="K22" s="87" t="s">
        <v>38</v>
      </c>
      <c r="L22" s="87" t="s">
        <v>39</v>
      </c>
      <c r="M22" s="87" t="s">
        <v>89</v>
      </c>
      <c r="N22" s="88" t="s">
        <v>34</v>
      </c>
      <c r="O22" s="88" t="s">
        <v>37</v>
      </c>
      <c r="Q22" s="87" t="s">
        <v>33</v>
      </c>
      <c r="R22" s="87" t="s">
        <v>6</v>
      </c>
      <c r="S22" s="87" t="s">
        <v>39</v>
      </c>
      <c r="T22" s="87" t="s">
        <v>89</v>
      </c>
      <c r="U22" s="88" t="s">
        <v>34</v>
      </c>
      <c r="V22" s="88" t="s">
        <v>37</v>
      </c>
    </row>
    <row r="23" spans="1:22" x14ac:dyDescent="0.25">
      <c r="A23" s="89">
        <v>1000</v>
      </c>
      <c r="B23" s="90">
        <f>A23*Cashflow!$AM$29</f>
        <v>1260</v>
      </c>
      <c r="C23" s="90">
        <f>IF(A23&lt;Cashflow!$AJ$53,0,IF(A23&lt;Cashflow!$AJ$54,Cashflow!$AM$53,IF(A23&lt;Cashflow!$AJ$55,Cashflow!$AM$54,Cashflow!$AM$55)))</f>
        <v>0</v>
      </c>
      <c r="D23" s="90">
        <f>A23*Cashflow!$AM$28</f>
        <v>93.901258470474346</v>
      </c>
      <c r="E23" s="91">
        <f>D23+C23+B23</f>
        <v>1353.9012584704744</v>
      </c>
      <c r="F23" s="95">
        <f>E23/A23</f>
        <v>1.3539012584704744</v>
      </c>
      <c r="I23" s="89">
        <v>1000</v>
      </c>
      <c r="J23" s="90">
        <f>I23*Cashflow!$AM$30</f>
        <v>1270</v>
      </c>
      <c r="K23" s="90">
        <f>IF(I23&lt;Cashflow!$AP$53,0,IF(I23&lt;Cashflow!$AP$54,Cashflow!$AS$53,IF(I23&lt;Cashflow!$AP$55,Cashflow!$AS$54,Cashflow!$AS$55)))</f>
        <v>0</v>
      </c>
      <c r="L23" s="90">
        <f>I23*Cashflow!$AM$28</f>
        <v>93.901258470474346</v>
      </c>
      <c r="M23" s="90">
        <f>IF(I23&lt;Cashflow!$AI$37,Cashflow!$AK$36,IF(I23&lt;Cashflow!$AI$38,Cashflow!$AK$37,IF(I23&lt;Cashflow!$AI$39,Cashflow!$AK$38,Cashflow!$AK$39)))</f>
        <v>100</v>
      </c>
      <c r="N23" s="91">
        <f>L23+K23+J23+M23</f>
        <v>1463.9012584704744</v>
      </c>
      <c r="O23" s="95">
        <f t="shared" ref="O23:O37" si="9">N23/I23</f>
        <v>1.4639012584704745</v>
      </c>
      <c r="Q23" s="89">
        <v>1000</v>
      </c>
      <c r="R23" s="90">
        <f>Q23*Cashflow!$AS$29</f>
        <v>1270</v>
      </c>
      <c r="S23" s="90">
        <f>Q23*Cashflow!$AS$28</f>
        <v>93.901258470474346</v>
      </c>
      <c r="T23" s="90">
        <f>IF(Q23&lt;Cashflow!$AI$45,Cashflow!$AK$44,IF(Q23&lt;Cashflow!$AI$46,Cashflow!$AK$45,IF(Q23&lt;Cashflow!$AI$47,Cashflow!$AK$46,Cashflow!$AK$47)))</f>
        <v>200</v>
      </c>
      <c r="U23" s="91">
        <f>S23+R23+T23</f>
        <v>1563.9012584704744</v>
      </c>
      <c r="V23" s="95">
        <f t="shared" ref="V23:V37" si="10">U23/Q23</f>
        <v>1.5639012584704743</v>
      </c>
    </row>
    <row r="24" spans="1:22" x14ac:dyDescent="0.25">
      <c r="A24" s="89">
        <v>2000</v>
      </c>
      <c r="B24" s="90">
        <f>A24*Cashflow!$AM$29</f>
        <v>2520</v>
      </c>
      <c r="C24" s="90">
        <f>IF(A24&lt;Cashflow!$AJ$53,0,IF(A24&lt;Cashflow!$AJ$54,Cashflow!$AM$53,IF(A24&lt;Cashflow!$AJ$55,Cashflow!$AM$54,Cashflow!$AM$55)))</f>
        <v>0</v>
      </c>
      <c r="D24" s="90">
        <f>A24*Cashflow!$AM$28</f>
        <v>187.80251694094869</v>
      </c>
      <c r="E24" s="91">
        <f t="shared" ref="E24:E37" si="11">D24+C24+B24</f>
        <v>2707.8025169409489</v>
      </c>
      <c r="F24" s="95">
        <f t="shared" ref="F24:F37" si="12">E24/A24</f>
        <v>1.3539012584704744</v>
      </c>
      <c r="I24" s="89">
        <v>2000</v>
      </c>
      <c r="J24" s="90">
        <f>I24*Cashflow!$AM$30</f>
        <v>2540</v>
      </c>
      <c r="K24" s="90">
        <f>IF(I24&lt;Cashflow!$AP$53,0,IF(I24&lt;Cashflow!$AP$54,Cashflow!$AS$53,IF(I24&lt;Cashflow!$AP$55,Cashflow!$AS$54,Cashflow!$AS$55)))</f>
        <v>0</v>
      </c>
      <c r="L24" s="90">
        <f>I24*Cashflow!$AM$28</f>
        <v>187.80251694094869</v>
      </c>
      <c r="M24" s="90">
        <f>IF(I24&lt;Cashflow!$AI$37,Cashflow!$AK$36,IF(I24&lt;Cashflow!$AI$38,Cashflow!$AK$37,IF(I24&lt;Cashflow!$AI$39,Cashflow!$AK$38,Cashflow!$AK$39)))</f>
        <v>100</v>
      </c>
      <c r="N24" s="91">
        <f t="shared" ref="N24:N37" si="13">L24+K24+J24+M24</f>
        <v>2827.8025169409489</v>
      </c>
      <c r="O24" s="95">
        <f t="shared" si="9"/>
        <v>1.4139012584704744</v>
      </c>
      <c r="Q24" s="89">
        <v>2000</v>
      </c>
      <c r="R24" s="90">
        <f>Q24*Cashflow!$AS$29</f>
        <v>2540</v>
      </c>
      <c r="S24" s="90">
        <f>Q24*Cashflow!$AS$28</f>
        <v>187.80251694094869</v>
      </c>
      <c r="T24" s="90">
        <f>IF(Q24&lt;Cashflow!$AI$45,Cashflow!$AK$44,IF(Q24&lt;Cashflow!$AI$46,Cashflow!$AK$45,IF(Q24&lt;Cashflow!$AI$47,Cashflow!$AK$46,Cashflow!$AK$47)))</f>
        <v>200</v>
      </c>
      <c r="U24" s="91">
        <f t="shared" ref="U24:U37" si="14">S24+R24+T24</f>
        <v>2927.8025169409489</v>
      </c>
      <c r="V24" s="95">
        <f t="shared" si="10"/>
        <v>1.4639012584704745</v>
      </c>
    </row>
    <row r="25" spans="1:22" x14ac:dyDescent="0.25">
      <c r="A25" s="89">
        <v>2500</v>
      </c>
      <c r="B25" s="90">
        <f>A25*Cashflow!$AM$29</f>
        <v>3150</v>
      </c>
      <c r="C25" s="90">
        <f>IF(A25&lt;Cashflow!$AJ$53,0,IF(A25&lt;Cashflow!$AJ$54,Cashflow!$AM$53,IF(A25&lt;Cashflow!$AJ$55,Cashflow!$AM$54,Cashflow!$AM$55)))</f>
        <v>1163.8999999999999</v>
      </c>
      <c r="D25" s="90">
        <f>A25*Cashflow!$AM$28</f>
        <v>234.75314617618585</v>
      </c>
      <c r="E25" s="91">
        <f t="shared" si="11"/>
        <v>4548.6531461761861</v>
      </c>
      <c r="F25" s="95">
        <f t="shared" si="12"/>
        <v>1.8194612584704744</v>
      </c>
      <c r="I25" s="89">
        <v>2500</v>
      </c>
      <c r="J25" s="90">
        <f>I25*Cashflow!$AM$30</f>
        <v>3175</v>
      </c>
      <c r="K25" s="90">
        <f>IF(I25&lt;Cashflow!$AP$53,0,IF(I25&lt;Cashflow!$AP$54,Cashflow!$AS$53,IF(I25&lt;Cashflow!$AP$55,Cashflow!$AS$54,Cashflow!$AS$55)))</f>
        <v>581.94999999999993</v>
      </c>
      <c r="L25" s="90">
        <f>I25*Cashflow!$AM$28</f>
        <v>234.75314617618585</v>
      </c>
      <c r="M25" s="90">
        <f>IF(I25&lt;Cashflow!$AI$37,Cashflow!$AK$36,IF(I25&lt;Cashflow!$AI$38,Cashflow!$AK$37,IF(I25&lt;Cashflow!$AI$39,Cashflow!$AK$38,Cashflow!$AK$39)))</f>
        <v>100</v>
      </c>
      <c r="N25" s="91">
        <f t="shared" si="13"/>
        <v>4091.7031461761858</v>
      </c>
      <c r="O25" s="95">
        <f t="shared" si="9"/>
        <v>1.6366812584704744</v>
      </c>
      <c r="Q25" s="89">
        <v>2500</v>
      </c>
      <c r="R25" s="90">
        <f>Q25*Cashflow!$AS$29</f>
        <v>3175</v>
      </c>
      <c r="S25" s="90">
        <f>Q25*Cashflow!$AS$28</f>
        <v>234.75314617618585</v>
      </c>
      <c r="T25" s="90">
        <f>IF(Q25&lt;Cashflow!$AI$45,Cashflow!$AK$44,IF(Q25&lt;Cashflow!$AI$46,Cashflow!$AK$45,IF(Q25&lt;Cashflow!$AI$47,Cashflow!$AK$46,Cashflow!$AK$47)))</f>
        <v>200</v>
      </c>
      <c r="U25" s="91">
        <f t="shared" si="14"/>
        <v>3609.753146176186</v>
      </c>
      <c r="V25" s="95">
        <f t="shared" si="10"/>
        <v>1.4439012584704745</v>
      </c>
    </row>
    <row r="26" spans="1:22" x14ac:dyDescent="0.25">
      <c r="A26" s="89">
        <v>2830</v>
      </c>
      <c r="B26" s="90">
        <f>A26*Cashflow!$AM$29</f>
        <v>3565.8</v>
      </c>
      <c r="C26" s="90">
        <f>IF(A26&lt;Cashflow!$AJ$53,0,IF(A26&lt;Cashflow!$AJ$54,Cashflow!$AM$53,IF(A26&lt;Cashflow!$AJ$55,Cashflow!$AM$54,Cashflow!$AM$55)))</f>
        <v>1209.5</v>
      </c>
      <c r="D26" s="90">
        <f>A26*Cashflow!$AM$28</f>
        <v>265.74056147144239</v>
      </c>
      <c r="E26" s="91">
        <f t="shared" si="11"/>
        <v>5041.0405614714427</v>
      </c>
      <c r="F26" s="95">
        <f t="shared" si="12"/>
        <v>1.7812864174810752</v>
      </c>
      <c r="I26" s="89">
        <v>2830</v>
      </c>
      <c r="J26" s="90">
        <f>I26*Cashflow!$AM$30</f>
        <v>3594.1</v>
      </c>
      <c r="K26" s="90">
        <f>IF(I26&lt;Cashflow!$AP$53,0,IF(I26&lt;Cashflow!$AP$54,Cashflow!$AS$53,IF(I26&lt;Cashflow!$AP$55,Cashflow!$AS$54,Cashflow!$AS$55)))</f>
        <v>604.75</v>
      </c>
      <c r="L26" s="90">
        <f>I26*Cashflow!$AM$28</f>
        <v>265.74056147144239</v>
      </c>
      <c r="M26" s="90">
        <f>IF(I26&lt;Cashflow!$AI$37,Cashflow!$AK$36,IF(I26&lt;Cashflow!$AI$38,Cashflow!$AK$37,IF(I26&lt;Cashflow!$AI$39,Cashflow!$AK$38,Cashflow!$AK$39)))</f>
        <v>700</v>
      </c>
      <c r="N26" s="91">
        <f t="shared" si="13"/>
        <v>5164.590561471442</v>
      </c>
      <c r="O26" s="95">
        <f t="shared" si="9"/>
        <v>1.8249436612973293</v>
      </c>
      <c r="Q26" s="89">
        <v>2830</v>
      </c>
      <c r="R26" s="90">
        <f>Q26*Cashflow!$AS$29</f>
        <v>3594.1</v>
      </c>
      <c r="S26" s="90">
        <f>Q26*Cashflow!$AS$28</f>
        <v>265.74056147144239</v>
      </c>
      <c r="T26" s="90">
        <f>IF(Q26&lt;Cashflow!$AI$45,Cashflow!$AK$44,IF(Q26&lt;Cashflow!$AI$46,Cashflow!$AK$45,IF(Q26&lt;Cashflow!$AI$47,Cashflow!$AK$46,Cashflow!$AK$47)))</f>
        <v>1400</v>
      </c>
      <c r="U26" s="91">
        <f t="shared" si="14"/>
        <v>5259.8405614714429</v>
      </c>
      <c r="V26" s="95">
        <f t="shared" si="10"/>
        <v>1.8586009051135841</v>
      </c>
    </row>
    <row r="27" spans="1:22" x14ac:dyDescent="0.25">
      <c r="A27" s="89">
        <v>3150</v>
      </c>
      <c r="B27" s="90">
        <f>A27*Cashflow!$AM$29</f>
        <v>3969</v>
      </c>
      <c r="C27" s="90">
        <f>IF(A27&lt;Cashflow!$AJ$53,0,IF(A27&lt;Cashflow!$AJ$54,Cashflow!$AM$53,IF(A27&lt;Cashflow!$AJ$55,Cashflow!$AM$54,Cashflow!$AM$55)))</f>
        <v>1255</v>
      </c>
      <c r="D27" s="90">
        <f>A27*Cashflow!$AM$28</f>
        <v>295.78896418199417</v>
      </c>
      <c r="E27" s="91">
        <f t="shared" si="11"/>
        <v>5519.7889641819947</v>
      </c>
      <c r="F27" s="95">
        <f t="shared" si="12"/>
        <v>1.7523139568831729</v>
      </c>
      <c r="I27" s="89">
        <v>3150</v>
      </c>
      <c r="J27" s="90">
        <f>I27*Cashflow!$AM$30</f>
        <v>4000.5</v>
      </c>
      <c r="K27" s="90">
        <f>IF(I27&lt;Cashflow!$AP$53,0,IF(I27&lt;Cashflow!$AP$54,Cashflow!$AS$53,IF(I27&lt;Cashflow!$AP$55,Cashflow!$AS$54,Cashflow!$AS$55)))</f>
        <v>627.5</v>
      </c>
      <c r="L27" s="90">
        <f>I27*Cashflow!$AM$28</f>
        <v>295.78896418199417</v>
      </c>
      <c r="M27" s="90">
        <f>IF(I27&lt;Cashflow!$AI$37,Cashflow!$AK$36,IF(I27&lt;Cashflow!$AI$38,Cashflow!$AK$37,IF(I27&lt;Cashflow!$AI$39,Cashflow!$AK$38,Cashflow!$AK$39)))</f>
        <v>700</v>
      </c>
      <c r="N27" s="91">
        <f t="shared" si="13"/>
        <v>5623.7889641819938</v>
      </c>
      <c r="O27" s="95">
        <f t="shared" si="9"/>
        <v>1.7853298298990457</v>
      </c>
      <c r="Q27" s="89">
        <v>3150</v>
      </c>
      <c r="R27" s="90">
        <f>Q27*Cashflow!$AS$29</f>
        <v>4000.5</v>
      </c>
      <c r="S27" s="90">
        <f>Q27*Cashflow!$AS$28</f>
        <v>295.78896418199417</v>
      </c>
      <c r="T27" s="90">
        <f>IF(Q27&lt;Cashflow!$AI$45,Cashflow!$AK$44,IF(Q27&lt;Cashflow!$AI$46,Cashflow!$AK$45,IF(Q27&lt;Cashflow!$AI$47,Cashflow!$AK$46,Cashflow!$AK$47)))</f>
        <v>1400</v>
      </c>
      <c r="U27" s="91">
        <f t="shared" si="14"/>
        <v>5696.2889641819938</v>
      </c>
      <c r="V27" s="95">
        <f t="shared" si="10"/>
        <v>1.8083457029149186</v>
      </c>
    </row>
    <row r="28" spans="1:22" x14ac:dyDescent="0.25">
      <c r="A28" s="89">
        <v>4000</v>
      </c>
      <c r="B28" s="90">
        <f>A28*Cashflow!$AM$29</f>
        <v>5040</v>
      </c>
      <c r="C28" s="90">
        <f>IF(A28&lt;Cashflow!$AJ$53,0,IF(A28&lt;Cashflow!$AJ$54,Cashflow!$AM$53,IF(A28&lt;Cashflow!$AJ$55,Cashflow!$AM$54,Cashflow!$AM$55)))</f>
        <v>1255</v>
      </c>
      <c r="D28" s="90">
        <f>A28*Cashflow!$AM$28</f>
        <v>375.60503388189738</v>
      </c>
      <c r="E28" s="91">
        <f t="shared" si="11"/>
        <v>6670.6050338818968</v>
      </c>
      <c r="F28" s="95">
        <f t="shared" si="12"/>
        <v>1.6676512584704741</v>
      </c>
      <c r="I28" s="89">
        <v>4000</v>
      </c>
      <c r="J28" s="90">
        <f>I28*Cashflow!$AM$30</f>
        <v>5080</v>
      </c>
      <c r="K28" s="90">
        <f>IF(I28&lt;Cashflow!$AP$53,0,IF(I28&lt;Cashflow!$AP$54,Cashflow!$AS$53,IF(I28&lt;Cashflow!$AP$55,Cashflow!$AS$54,Cashflow!$AS$55)))</f>
        <v>627.5</v>
      </c>
      <c r="L28" s="90">
        <f>I28*Cashflow!$AM$28</f>
        <v>375.60503388189738</v>
      </c>
      <c r="M28" s="90">
        <f>IF(I28&lt;Cashflow!$AI$37,Cashflow!$AK$36,IF(I28&lt;Cashflow!$AI$38,Cashflow!$AK$37,IF(I28&lt;Cashflow!$AI$39,Cashflow!$AK$38,Cashflow!$AK$39)))</f>
        <v>700</v>
      </c>
      <c r="N28" s="91">
        <f t="shared" si="13"/>
        <v>6783.1050338818977</v>
      </c>
      <c r="O28" s="95">
        <f t="shared" si="9"/>
        <v>1.6957762584704745</v>
      </c>
      <c r="Q28" s="89">
        <v>4000</v>
      </c>
      <c r="R28" s="90">
        <f>Q28*Cashflow!$AS$29</f>
        <v>5080</v>
      </c>
      <c r="S28" s="90">
        <f>Q28*Cashflow!$AS$28</f>
        <v>375.60503388189738</v>
      </c>
      <c r="T28" s="90">
        <f>IF(Q28&lt;Cashflow!$AI$45,Cashflow!$AK$44,IF(Q28&lt;Cashflow!$AI$46,Cashflow!$AK$45,IF(Q28&lt;Cashflow!$AI$47,Cashflow!$AK$46,Cashflow!$AK$47)))</f>
        <v>1400</v>
      </c>
      <c r="U28" s="91">
        <f t="shared" si="14"/>
        <v>6855.6050338818977</v>
      </c>
      <c r="V28" s="95">
        <f t="shared" si="10"/>
        <v>1.7139012584704745</v>
      </c>
    </row>
    <row r="29" spans="1:22" x14ac:dyDescent="0.25">
      <c r="A29" s="89">
        <v>5000</v>
      </c>
      <c r="B29" s="90">
        <f>A29*Cashflow!$AM$29</f>
        <v>6300</v>
      </c>
      <c r="C29" s="90">
        <f>IF(A29&lt;Cashflow!$AJ$53,0,IF(A29&lt;Cashflow!$AJ$54,Cashflow!$AM$53,IF(A29&lt;Cashflow!$AJ$55,Cashflow!$AM$54,Cashflow!$AM$55)))</f>
        <v>1255</v>
      </c>
      <c r="D29" s="90">
        <f>A29*Cashflow!$AM$28</f>
        <v>469.5062923523717</v>
      </c>
      <c r="E29" s="91">
        <f t="shared" si="11"/>
        <v>8024.5062923523719</v>
      </c>
      <c r="F29" s="95">
        <f t="shared" si="12"/>
        <v>1.6049012584704745</v>
      </c>
      <c r="I29" s="89">
        <v>5000</v>
      </c>
      <c r="J29" s="90">
        <f>I29*Cashflow!$AM$30</f>
        <v>6350</v>
      </c>
      <c r="K29" s="90">
        <f>IF(I29&lt;Cashflow!$AP$53,0,IF(I29&lt;Cashflow!$AP$54,Cashflow!$AS$53,IF(I29&lt;Cashflow!$AP$55,Cashflow!$AS$54,Cashflow!$AS$55)))</f>
        <v>627.5</v>
      </c>
      <c r="L29" s="90">
        <f>I29*Cashflow!$AM$28</f>
        <v>469.5062923523717</v>
      </c>
      <c r="M29" s="90">
        <f>IF(I29&lt;Cashflow!$AI$37,Cashflow!$AK$36,IF(I29&lt;Cashflow!$AI$38,Cashflow!$AK$37,IF(I29&lt;Cashflow!$AI$39,Cashflow!$AK$38,Cashflow!$AK$39)))</f>
        <v>700</v>
      </c>
      <c r="N29" s="91">
        <f t="shared" si="13"/>
        <v>8147.0062923523719</v>
      </c>
      <c r="O29" s="95">
        <f t="shared" si="9"/>
        <v>1.6294012584704745</v>
      </c>
      <c r="Q29" s="89">
        <v>5000</v>
      </c>
      <c r="R29" s="90">
        <f>Q29*Cashflow!$AS$29</f>
        <v>6350</v>
      </c>
      <c r="S29" s="90">
        <f>Q29*Cashflow!$AS$28</f>
        <v>469.5062923523717</v>
      </c>
      <c r="T29" s="90">
        <f>IF(Q29&lt;Cashflow!$AI$45,Cashflow!$AK$44,IF(Q29&lt;Cashflow!$AI$46,Cashflow!$AK$45,IF(Q29&lt;Cashflow!$AI$47,Cashflow!$AK$46,Cashflow!$AK$47)))</f>
        <v>1400</v>
      </c>
      <c r="U29" s="91">
        <f t="shared" si="14"/>
        <v>8219.5062923523728</v>
      </c>
      <c r="V29" s="95">
        <f t="shared" si="10"/>
        <v>1.6439012584704746</v>
      </c>
    </row>
    <row r="30" spans="1:22" x14ac:dyDescent="0.25">
      <c r="A30" s="89">
        <v>6000</v>
      </c>
      <c r="B30" s="90">
        <f>A30*Cashflow!$AM$29</f>
        <v>7560</v>
      </c>
      <c r="C30" s="90">
        <f>IF(A30&lt;Cashflow!$AJ$53,0,IF(A30&lt;Cashflow!$AJ$54,Cashflow!$AM$53,IF(A30&lt;Cashflow!$AJ$55,Cashflow!$AM$54,Cashflow!$AM$55)))</f>
        <v>1255</v>
      </c>
      <c r="D30" s="90">
        <f>A30*Cashflow!$AM$28</f>
        <v>563.40755082284602</v>
      </c>
      <c r="E30" s="91">
        <f t="shared" si="11"/>
        <v>9378.4075508228452</v>
      </c>
      <c r="F30" s="95">
        <f t="shared" si="12"/>
        <v>1.5630679251371409</v>
      </c>
      <c r="I30" s="89">
        <v>6000</v>
      </c>
      <c r="J30" s="90">
        <f>I30*Cashflow!$AM$30</f>
        <v>7620</v>
      </c>
      <c r="K30" s="90">
        <f>IF(I30&lt;Cashflow!$AP$53,0,IF(I30&lt;Cashflow!$AP$54,Cashflow!$AS$53,IF(I30&lt;Cashflow!$AP$55,Cashflow!$AS$54,Cashflow!$AS$55)))</f>
        <v>627.5</v>
      </c>
      <c r="L30" s="90">
        <f>I30*Cashflow!$AM$28</f>
        <v>563.40755082284602</v>
      </c>
      <c r="M30" s="90">
        <f>IF(I30&lt;Cashflow!$AI$37,Cashflow!$AK$36,IF(I30&lt;Cashflow!$AI$38,Cashflow!$AK$37,IF(I30&lt;Cashflow!$AI$39,Cashflow!$AK$38,Cashflow!$AK$39)))</f>
        <v>780</v>
      </c>
      <c r="N30" s="91">
        <f t="shared" si="13"/>
        <v>9590.9075508228452</v>
      </c>
      <c r="O30" s="95">
        <f t="shared" si="9"/>
        <v>1.5984845918038075</v>
      </c>
      <c r="Q30" s="89">
        <v>6000</v>
      </c>
      <c r="R30" s="90">
        <f>Q30*Cashflow!$AS$29</f>
        <v>7620</v>
      </c>
      <c r="S30" s="90">
        <f>Q30*Cashflow!$AS$28</f>
        <v>563.40755082284602</v>
      </c>
      <c r="T30" s="90">
        <f>IF(Q30&lt;Cashflow!$AI$45,Cashflow!$AK$44,IF(Q30&lt;Cashflow!$AI$46,Cashflow!$AK$45,IF(Q30&lt;Cashflow!$AI$47,Cashflow!$AK$46,Cashflow!$AK$47)))</f>
        <v>1560</v>
      </c>
      <c r="U30" s="91">
        <f t="shared" si="14"/>
        <v>9743.4075508228452</v>
      </c>
      <c r="V30" s="95">
        <f t="shared" si="10"/>
        <v>1.6239012584704742</v>
      </c>
    </row>
    <row r="31" spans="1:22" x14ac:dyDescent="0.25">
      <c r="A31" s="89">
        <v>7000</v>
      </c>
      <c r="B31" s="90">
        <f>A31*Cashflow!$AM$29</f>
        <v>8820</v>
      </c>
      <c r="C31" s="90">
        <f>IF(A31&lt;Cashflow!$AJ$53,0,IF(A31&lt;Cashflow!$AJ$54,Cashflow!$AM$53,IF(A31&lt;Cashflow!$AJ$55,Cashflow!$AM$54,Cashflow!$AM$55)))</f>
        <v>1255</v>
      </c>
      <c r="D31" s="90">
        <f>A31*Cashflow!$AM$28</f>
        <v>657.30880929332034</v>
      </c>
      <c r="E31" s="91">
        <f t="shared" si="11"/>
        <v>10732.308809293321</v>
      </c>
      <c r="F31" s="95">
        <f t="shared" si="12"/>
        <v>1.5331869727561886</v>
      </c>
      <c r="I31" s="89">
        <v>7000</v>
      </c>
      <c r="J31" s="90">
        <f>I31*Cashflow!$AM$30</f>
        <v>8890</v>
      </c>
      <c r="K31" s="90">
        <f>IF(I31&lt;Cashflow!$AP$53,0,IF(I31&lt;Cashflow!$AP$54,Cashflow!$AS$53,IF(I31&lt;Cashflow!$AP$55,Cashflow!$AS$54,Cashflow!$AS$55)))</f>
        <v>627.5</v>
      </c>
      <c r="L31" s="90">
        <f>I31*Cashflow!$AM$28</f>
        <v>657.30880929332034</v>
      </c>
      <c r="M31" s="90">
        <f>IF(I31&lt;Cashflow!$AI$37,Cashflow!$AK$36,IF(I31&lt;Cashflow!$AI$38,Cashflow!$AK$37,IF(I31&lt;Cashflow!$AI$39,Cashflow!$AK$38,Cashflow!$AK$39)))</f>
        <v>780</v>
      </c>
      <c r="N31" s="91">
        <f t="shared" si="13"/>
        <v>10954.808809293321</v>
      </c>
      <c r="O31" s="95">
        <f t="shared" si="9"/>
        <v>1.564972687041903</v>
      </c>
      <c r="Q31" s="89">
        <v>7000</v>
      </c>
      <c r="R31" s="90">
        <f>Q31*Cashflow!$AS$29</f>
        <v>8890</v>
      </c>
      <c r="S31" s="90">
        <f>Q31*Cashflow!$AS$28</f>
        <v>657.30880929332034</v>
      </c>
      <c r="T31" s="90">
        <f>IF(Q31&lt;Cashflow!$AI$45,Cashflow!$AK$44,IF(Q31&lt;Cashflow!$AI$46,Cashflow!$AK$45,IF(Q31&lt;Cashflow!$AI$47,Cashflow!$AK$46,Cashflow!$AK$47)))</f>
        <v>1560</v>
      </c>
      <c r="U31" s="91">
        <f t="shared" si="14"/>
        <v>11107.308809293321</v>
      </c>
      <c r="V31" s="95">
        <f t="shared" si="10"/>
        <v>1.5867584013276173</v>
      </c>
    </row>
    <row r="32" spans="1:22" x14ac:dyDescent="0.25">
      <c r="A32" s="89">
        <v>8000</v>
      </c>
      <c r="B32" s="90">
        <f>A32*Cashflow!$AM$29</f>
        <v>10080</v>
      </c>
      <c r="C32" s="90">
        <f>IF(A32&lt;Cashflow!$AJ$53,0,IF(A32&lt;Cashflow!$AJ$54,Cashflow!$AM$53,IF(A32&lt;Cashflow!$AJ$55,Cashflow!$AM$54,Cashflow!$AM$55)))</f>
        <v>1255</v>
      </c>
      <c r="D32" s="90">
        <f>A32*Cashflow!$AM$28</f>
        <v>751.21006776379477</v>
      </c>
      <c r="E32" s="91">
        <f t="shared" si="11"/>
        <v>12086.210067763795</v>
      </c>
      <c r="F32" s="95">
        <f t="shared" si="12"/>
        <v>1.5107762584704745</v>
      </c>
      <c r="I32" s="89">
        <v>8000</v>
      </c>
      <c r="J32" s="90">
        <f>I32*Cashflow!$AM$30</f>
        <v>10160</v>
      </c>
      <c r="K32" s="90">
        <f>IF(I32&lt;Cashflow!$AP$53,0,IF(I32&lt;Cashflow!$AP$54,Cashflow!$AS$53,IF(I32&lt;Cashflow!$AP$55,Cashflow!$AS$54,Cashflow!$AS$55)))</f>
        <v>627.5</v>
      </c>
      <c r="L32" s="90">
        <f>I32*Cashflow!$AM$28</f>
        <v>751.21006776379477</v>
      </c>
      <c r="M32" s="90">
        <f>IF(I32&lt;Cashflow!$AI$37,Cashflow!$AK$36,IF(I32&lt;Cashflow!$AI$38,Cashflow!$AK$37,IF(I32&lt;Cashflow!$AI$39,Cashflow!$AK$38,Cashflow!$AK$39)))</f>
        <v>780</v>
      </c>
      <c r="N32" s="91">
        <f t="shared" si="13"/>
        <v>12318.710067763795</v>
      </c>
      <c r="O32" s="95">
        <f t="shared" si="9"/>
        <v>1.5398387584704745</v>
      </c>
      <c r="Q32" s="89">
        <v>8000</v>
      </c>
      <c r="R32" s="90">
        <f>Q32*Cashflow!$AS$29</f>
        <v>10160</v>
      </c>
      <c r="S32" s="90">
        <f>Q32*Cashflow!$AS$28</f>
        <v>751.21006776379477</v>
      </c>
      <c r="T32" s="90">
        <f>IF(Q32&lt;Cashflow!$AI$45,Cashflow!$AK$44,IF(Q32&lt;Cashflow!$AI$46,Cashflow!$AK$45,IF(Q32&lt;Cashflow!$AI$47,Cashflow!$AK$46,Cashflow!$AK$47)))</f>
        <v>1560</v>
      </c>
      <c r="U32" s="91">
        <f t="shared" si="14"/>
        <v>12471.210067763795</v>
      </c>
      <c r="V32" s="95">
        <f t="shared" si="10"/>
        <v>1.5589012584704744</v>
      </c>
    </row>
    <row r="33" spans="1:22" x14ac:dyDescent="0.25">
      <c r="A33" s="89">
        <v>9000</v>
      </c>
      <c r="B33" s="90">
        <f>A33*Cashflow!$AM$29</f>
        <v>11340</v>
      </c>
      <c r="C33" s="90">
        <f>IF(A33&lt;Cashflow!$AJ$53,0,IF(A33&lt;Cashflow!$AJ$54,Cashflow!$AM$53,IF(A33&lt;Cashflow!$AJ$55,Cashflow!$AM$54,Cashflow!$AM$55)))</f>
        <v>1255</v>
      </c>
      <c r="D33" s="90">
        <f>A33*Cashflow!$AM$28</f>
        <v>845.11132623426909</v>
      </c>
      <c r="E33" s="91">
        <f t="shared" si="11"/>
        <v>13440.11132623427</v>
      </c>
      <c r="F33" s="95">
        <f t="shared" si="12"/>
        <v>1.4933457029149189</v>
      </c>
      <c r="I33" s="89">
        <v>9000</v>
      </c>
      <c r="J33" s="90">
        <f>I33*Cashflow!$AM$30</f>
        <v>11430</v>
      </c>
      <c r="K33" s="90">
        <f>IF(I33&lt;Cashflow!$AP$53,0,IF(I33&lt;Cashflow!$AP$54,Cashflow!$AS$53,IF(I33&lt;Cashflow!$AP$55,Cashflow!$AS$54,Cashflow!$AS$55)))</f>
        <v>627.5</v>
      </c>
      <c r="L33" s="90">
        <f>I33*Cashflow!$AM$28</f>
        <v>845.11132623426909</v>
      </c>
      <c r="M33" s="90">
        <f>IF(I33&lt;Cashflow!$AI$37,Cashflow!$AK$36,IF(I33&lt;Cashflow!$AI$38,Cashflow!$AK$37,IF(I33&lt;Cashflow!$AI$39,Cashflow!$AK$38,Cashflow!$AK$39)))</f>
        <v>780</v>
      </c>
      <c r="N33" s="91">
        <f t="shared" si="13"/>
        <v>13682.61132623427</v>
      </c>
      <c r="O33" s="95">
        <f t="shared" si="9"/>
        <v>1.5202901473593633</v>
      </c>
      <c r="Q33" s="89">
        <v>9000</v>
      </c>
      <c r="R33" s="90">
        <f>Q33*Cashflow!$AS$29</f>
        <v>11430</v>
      </c>
      <c r="S33" s="90">
        <f>Q33*Cashflow!$AS$28</f>
        <v>845.11132623426909</v>
      </c>
      <c r="T33" s="90">
        <f>IF(Q33&lt;Cashflow!$AI$45,Cashflow!$AK$44,IF(Q33&lt;Cashflow!$AI$46,Cashflow!$AK$45,IF(Q33&lt;Cashflow!$AI$47,Cashflow!$AK$46,Cashflow!$AK$47)))</f>
        <v>1560</v>
      </c>
      <c r="U33" s="91">
        <f t="shared" si="14"/>
        <v>13835.11132623427</v>
      </c>
      <c r="V33" s="95">
        <f t="shared" si="10"/>
        <v>1.5372345918038077</v>
      </c>
    </row>
    <row r="34" spans="1:22" x14ac:dyDescent="0.25">
      <c r="A34" s="89">
        <v>10000</v>
      </c>
      <c r="B34" s="90">
        <f>A34*Cashflow!$AM$29</f>
        <v>12600</v>
      </c>
      <c r="C34" s="90">
        <f>IF(A34&lt;Cashflow!$AJ$53,0,IF(A34&lt;Cashflow!$AJ$54,Cashflow!$AM$53,IF(A34&lt;Cashflow!$AJ$55,Cashflow!$AM$54,Cashflow!$AM$55)))</f>
        <v>1255</v>
      </c>
      <c r="D34" s="90">
        <f>A34*Cashflow!$AM$28</f>
        <v>939.0125847047434</v>
      </c>
      <c r="E34" s="91">
        <f t="shared" si="11"/>
        <v>14794.012584704744</v>
      </c>
      <c r="F34" s="95">
        <f t="shared" si="12"/>
        <v>1.4794012584704743</v>
      </c>
      <c r="I34" s="89">
        <v>10000</v>
      </c>
      <c r="J34" s="90">
        <f>I34*Cashflow!$AM$30</f>
        <v>12700</v>
      </c>
      <c r="K34" s="90">
        <f>IF(I34&lt;Cashflow!$AP$53,0,IF(I34&lt;Cashflow!$AP$54,Cashflow!$AS$53,IF(I34&lt;Cashflow!$AP$55,Cashflow!$AS$54,Cashflow!$AS$55)))</f>
        <v>627.5</v>
      </c>
      <c r="L34" s="90">
        <f>I34*Cashflow!$AM$28</f>
        <v>939.0125847047434</v>
      </c>
      <c r="M34" s="90">
        <f>IF(I34&lt;Cashflow!$AI$37,Cashflow!$AK$36,IF(I34&lt;Cashflow!$AI$38,Cashflow!$AK$37,IF(I34&lt;Cashflow!$AI$39,Cashflow!$AK$38,Cashflow!$AK$39)))</f>
        <v>780</v>
      </c>
      <c r="N34" s="91">
        <f t="shared" si="13"/>
        <v>15046.512584704744</v>
      </c>
      <c r="O34" s="95">
        <f t="shared" si="9"/>
        <v>1.5046512584704743</v>
      </c>
      <c r="Q34" s="89">
        <v>10000</v>
      </c>
      <c r="R34" s="90">
        <f>Q34*Cashflow!$AS$29</f>
        <v>12700</v>
      </c>
      <c r="S34" s="90">
        <f>Q34*Cashflow!$AS$28</f>
        <v>939.0125847047434</v>
      </c>
      <c r="T34" s="90">
        <f>IF(Q34&lt;Cashflow!$AI$45,Cashflow!$AK$44,IF(Q34&lt;Cashflow!$AI$46,Cashflow!$AK$45,IF(Q34&lt;Cashflow!$AI$47,Cashflow!$AK$46,Cashflow!$AK$47)))</f>
        <v>1560</v>
      </c>
      <c r="U34" s="91">
        <f t="shared" si="14"/>
        <v>15199.012584704744</v>
      </c>
      <c r="V34" s="95">
        <f t="shared" si="10"/>
        <v>1.5199012584704743</v>
      </c>
    </row>
    <row r="35" spans="1:22" x14ac:dyDescent="0.25">
      <c r="A35" s="89">
        <v>11000</v>
      </c>
      <c r="B35" s="90">
        <f>A35*Cashflow!$AM$29</f>
        <v>13860</v>
      </c>
      <c r="C35" s="90">
        <f>IF(A35&lt;Cashflow!$AJ$53,0,IF(A35&lt;Cashflow!$AJ$54,Cashflow!$AM$53,IF(A35&lt;Cashflow!$AJ$55,Cashflow!$AM$54,Cashflow!$AM$55)))</f>
        <v>1255</v>
      </c>
      <c r="D35" s="90">
        <f>A35*Cashflow!$AM$28</f>
        <v>1032.9138431752178</v>
      </c>
      <c r="E35" s="91">
        <f t="shared" si="11"/>
        <v>16147.913843175218</v>
      </c>
      <c r="F35" s="95">
        <f t="shared" si="12"/>
        <v>1.4679921675613834</v>
      </c>
      <c r="I35" s="89">
        <v>11000</v>
      </c>
      <c r="J35" s="90">
        <f>I35*Cashflow!$AM$30</f>
        <v>13970</v>
      </c>
      <c r="K35" s="90">
        <f>IF(I35&lt;Cashflow!$AP$53,0,IF(I35&lt;Cashflow!$AP$54,Cashflow!$AS$53,IF(I35&lt;Cashflow!$AP$55,Cashflow!$AS$54,Cashflow!$AS$55)))</f>
        <v>627.5</v>
      </c>
      <c r="L35" s="90">
        <f>I35*Cashflow!$AM$28</f>
        <v>1032.9138431752178</v>
      </c>
      <c r="M35" s="90">
        <f>IF(I35&lt;Cashflow!$AI$37,Cashflow!$AK$36,IF(I35&lt;Cashflow!$AI$38,Cashflow!$AK$37,IF(I35&lt;Cashflow!$AI$39,Cashflow!$AK$38,Cashflow!$AK$39)))</f>
        <v>780</v>
      </c>
      <c r="N35" s="91">
        <f t="shared" si="13"/>
        <v>16410.413843175218</v>
      </c>
      <c r="O35" s="95">
        <f t="shared" si="9"/>
        <v>1.4918558039250198</v>
      </c>
      <c r="Q35" s="89">
        <v>11000</v>
      </c>
      <c r="R35" s="90">
        <f>Q35*Cashflow!$AS$29</f>
        <v>13970</v>
      </c>
      <c r="S35" s="90">
        <f>Q35*Cashflow!$AS$28</f>
        <v>1032.9138431752178</v>
      </c>
      <c r="T35" s="90">
        <f>IF(Q35&lt;Cashflow!$AI$45,Cashflow!$AK$44,IF(Q35&lt;Cashflow!$AI$46,Cashflow!$AK$45,IF(Q35&lt;Cashflow!$AI$47,Cashflow!$AK$46,Cashflow!$AK$47)))</f>
        <v>1560</v>
      </c>
      <c r="U35" s="91">
        <f t="shared" si="14"/>
        <v>16562.913843175218</v>
      </c>
      <c r="V35" s="95">
        <f t="shared" si="10"/>
        <v>1.5057194402886562</v>
      </c>
    </row>
    <row r="36" spans="1:22" x14ac:dyDescent="0.25">
      <c r="A36" s="89">
        <v>13000</v>
      </c>
      <c r="B36" s="90">
        <f>A36*Cashflow!$AM$29</f>
        <v>16380</v>
      </c>
      <c r="C36" s="90">
        <f>IF(A36&lt;Cashflow!$AJ$53,0,IF(A36&lt;Cashflow!$AJ$54,Cashflow!$AM$53,IF(A36&lt;Cashflow!$AJ$55,Cashflow!$AM$54,Cashflow!$AM$55)))</f>
        <v>1255</v>
      </c>
      <c r="D36" s="90">
        <f>A36*Cashflow!$AM$28</f>
        <v>1220.7163601161665</v>
      </c>
      <c r="E36" s="91">
        <f t="shared" si="11"/>
        <v>18855.716360116166</v>
      </c>
      <c r="F36" s="95">
        <f t="shared" si="12"/>
        <v>1.4504397200089358</v>
      </c>
      <c r="I36" s="89">
        <v>13000</v>
      </c>
      <c r="J36" s="90">
        <f>I36*Cashflow!$AM$30</f>
        <v>16510</v>
      </c>
      <c r="K36" s="90">
        <f>IF(I36&lt;Cashflow!$AP$53,0,IF(I36&lt;Cashflow!$AP$54,Cashflow!$AS$53,IF(I36&lt;Cashflow!$AP$55,Cashflow!$AS$54,Cashflow!$AS$55)))</f>
        <v>627.5</v>
      </c>
      <c r="L36" s="90">
        <f>I36*Cashflow!$AM$28</f>
        <v>1220.7163601161665</v>
      </c>
      <c r="M36" s="90">
        <f>IF(I36&lt;Cashflow!$AI$37,Cashflow!$AK$36,IF(I36&lt;Cashflow!$AI$38,Cashflow!$AK$37,IF(I36&lt;Cashflow!$AI$39,Cashflow!$AK$38,Cashflow!$AK$39)))</f>
        <v>780</v>
      </c>
      <c r="N36" s="91">
        <f t="shared" si="13"/>
        <v>19138.216360116166</v>
      </c>
      <c r="O36" s="95">
        <f t="shared" si="9"/>
        <v>1.4721704892397052</v>
      </c>
      <c r="Q36" s="89">
        <v>13000</v>
      </c>
      <c r="R36" s="90">
        <f>Q36*Cashflow!$AS$29</f>
        <v>16510</v>
      </c>
      <c r="S36" s="90">
        <f>Q36*Cashflow!$AS$28</f>
        <v>1220.7163601161665</v>
      </c>
      <c r="T36" s="90">
        <f>IF(Q36&lt;Cashflow!$AI$45,Cashflow!$AK$44,IF(Q36&lt;Cashflow!$AI$46,Cashflow!$AK$45,IF(Q36&lt;Cashflow!$AI$47,Cashflow!$AK$46,Cashflow!$AK$47)))</f>
        <v>1560</v>
      </c>
      <c r="U36" s="91">
        <f t="shared" si="14"/>
        <v>19290.716360116166</v>
      </c>
      <c r="V36" s="95">
        <f t="shared" si="10"/>
        <v>1.4839012584704743</v>
      </c>
    </row>
    <row r="37" spans="1:22" ht="15.75" thickBot="1" x14ac:dyDescent="0.3">
      <c r="A37" s="89">
        <v>15000</v>
      </c>
      <c r="B37" s="90">
        <f>A37*Cashflow!$AM$29</f>
        <v>18900</v>
      </c>
      <c r="C37" s="90">
        <f>IF(A37&lt;Cashflow!$AJ$53,0,IF(A37&lt;Cashflow!$AJ$54,Cashflow!$AM$53,IF(A37&lt;Cashflow!$AJ$55,Cashflow!$AM$54,Cashflow!$AM$55)))</f>
        <v>1255</v>
      </c>
      <c r="D37" s="90">
        <f>A37*Cashflow!$AM$28</f>
        <v>1408.5188770571151</v>
      </c>
      <c r="E37" s="93">
        <f t="shared" si="11"/>
        <v>21563.518877057115</v>
      </c>
      <c r="F37" s="96">
        <f t="shared" si="12"/>
        <v>1.4375679251371409</v>
      </c>
      <c r="I37" s="89">
        <v>15000</v>
      </c>
      <c r="J37" s="90">
        <f>I37*Cashflow!$AM$30</f>
        <v>19050</v>
      </c>
      <c r="K37" s="90">
        <f>IF(I37&lt;Cashflow!$AP$53,0,IF(I37&lt;Cashflow!$AP$54,Cashflow!$AS$53,IF(I37&lt;Cashflow!$AP$55,Cashflow!$AS$54,Cashflow!$AS$55)))</f>
        <v>627.5</v>
      </c>
      <c r="L37" s="90">
        <f>I37*Cashflow!$AM$28</f>
        <v>1408.5188770571151</v>
      </c>
      <c r="M37" s="90">
        <f>IF(I37&lt;Cashflow!$AI$37,Cashflow!$AK$36,IF(I37&lt;Cashflow!$AI$38,Cashflow!$AK$37,IF(I37&lt;Cashflow!$AI$39,Cashflow!$AK$38,Cashflow!$AK$39)))</f>
        <v>780</v>
      </c>
      <c r="N37" s="93">
        <f t="shared" si="13"/>
        <v>21866.018877057115</v>
      </c>
      <c r="O37" s="96">
        <f t="shared" si="9"/>
        <v>1.4577345918038076</v>
      </c>
      <c r="Q37" s="89">
        <v>15000</v>
      </c>
      <c r="R37" s="90">
        <f>Q37*Cashflow!$AS$29</f>
        <v>19050</v>
      </c>
      <c r="S37" s="90">
        <f>Q37*Cashflow!$AS$28</f>
        <v>1408.5188770571151</v>
      </c>
      <c r="T37" s="90">
        <f>IF(Q37&lt;Cashflow!$AI$45,Cashflow!$AK$44,IF(Q37&lt;Cashflow!$AI$46,Cashflow!$AK$45,IF(Q37&lt;Cashflow!$AI$47,Cashflow!$AK$46,Cashflow!$AK$47)))</f>
        <v>1560</v>
      </c>
      <c r="U37" s="93">
        <f t="shared" si="14"/>
        <v>22018.518877057115</v>
      </c>
      <c r="V37" s="96">
        <f t="shared" si="10"/>
        <v>1.4679012584704743</v>
      </c>
    </row>
  </sheetData>
  <mergeCells count="6">
    <mergeCell ref="A2:E2"/>
    <mergeCell ref="A21:F21"/>
    <mergeCell ref="I2:M2"/>
    <mergeCell ref="I21:N21"/>
    <mergeCell ref="Q2:U2"/>
    <mergeCell ref="Q21:V2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6D813DC406C074D9866DD3C8CD8714E" ma:contentTypeVersion="" ma:contentTypeDescription="Create a new document." ma:contentTypeScope="" ma:versionID="b71a1e6c0a0feadb3d829ffcfb84b648">
  <xsd:schema xmlns:xsd="http://www.w3.org/2001/XMLSchema" xmlns:xs="http://www.w3.org/2001/XMLSchema" xmlns:p="http://schemas.microsoft.com/office/2006/metadata/properties" xmlns:ns2="1c7d3551-5694-4f12-b35a-d9a7a462ea4b" xmlns:ns3="a7f565ec-e60e-44e7-9b81-f866c66cefc4" xmlns:ns4="fb9733ba-e3b0-45a6-a2ff-dbb775586540" targetNamespace="http://schemas.microsoft.com/office/2006/metadata/properties" ma:root="true" ma:fieldsID="157a37102b7e87e29398f3b00a02c205" ns2:_="" ns3:_="" ns4:_="">
    <xsd:import namespace="1c7d3551-5694-4f12-b35a-d9a7a462ea4b"/>
    <xsd:import namespace="a7f565ec-e60e-44e7-9b81-f866c66cefc4"/>
    <xsd:import namespace="fb9733ba-e3b0-45a6-a2ff-dbb775586540"/>
    <xsd:element name="properties">
      <xsd:complexType>
        <xsd:sequence>
          <xsd:element name="documentManagement">
            <xsd:complexType>
              <xsd:all>
                <xsd:element ref="ns2:SharedWithUsers" minOccurs="0"/>
                <xsd:element ref="ns2:SharedWithDetails" minOccurs="0"/>
                <xsd:element ref="ns3:LastSharedByUser" minOccurs="0"/>
                <xsd:element ref="ns3:LastSharedByTime" minOccurs="0"/>
                <xsd:element ref="ns4:MediaServiceMetadata" minOccurs="0"/>
                <xsd:element ref="ns4:MediaServiceFastMetadata" minOccurs="0"/>
                <xsd:element ref="ns4:MediaServiceEventHashCode" minOccurs="0"/>
                <xsd:element ref="ns4: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7d3551-5694-4f12-b35a-d9a7a462ea4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7f565ec-e60e-44e7-9b81-f866c66cefc4" elementFormDefault="qualified">
    <xsd:import namespace="http://schemas.microsoft.com/office/2006/documentManagement/types"/>
    <xsd:import namespace="http://schemas.microsoft.com/office/infopath/2007/PartnerControls"/>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b9733ba-e3b0-45a6-a2ff-dbb775586540"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E8309BD-08F5-4239-AF72-461CE04799DB}">
  <ds:schemaRefs>
    <ds:schemaRef ds:uri="1c7d3551-5694-4f12-b35a-d9a7a462ea4b"/>
    <ds:schemaRef ds:uri="http://purl.org/dc/terms/"/>
    <ds:schemaRef ds:uri="http://schemas.microsoft.com/office/infopath/2007/PartnerControls"/>
    <ds:schemaRef ds:uri="http://schemas.microsoft.com/office/2006/metadata/properties"/>
    <ds:schemaRef ds:uri="http://schemas.microsoft.com/office/2006/documentManagement/types"/>
    <ds:schemaRef ds:uri="http://schemas.openxmlformats.org/package/2006/metadata/core-properties"/>
    <ds:schemaRef ds:uri="http://www.w3.org/XML/1998/namespace"/>
    <ds:schemaRef ds:uri="http://purl.org/dc/elements/1.1/"/>
    <ds:schemaRef ds:uri="fb9733ba-e3b0-45a6-a2ff-dbb775586540"/>
    <ds:schemaRef ds:uri="a7f565ec-e60e-44e7-9b81-f866c66cefc4"/>
    <ds:schemaRef ds:uri="http://purl.org/dc/dcmitype/"/>
  </ds:schemaRefs>
</ds:datastoreItem>
</file>

<file path=customXml/itemProps2.xml><?xml version="1.0" encoding="utf-8"?>
<ds:datastoreItem xmlns:ds="http://schemas.openxmlformats.org/officeDocument/2006/customXml" ds:itemID="{8C55678A-661C-4828-B7E1-24501EC78A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7d3551-5694-4f12-b35a-d9a7a462ea4b"/>
    <ds:schemaRef ds:uri="a7f565ec-e60e-44e7-9b81-f866c66cefc4"/>
    <ds:schemaRef ds:uri="fb9733ba-e3b0-45a6-a2ff-dbb7755865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AB0664B-6321-4FD8-9924-44231508E60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Introduction</vt:lpstr>
      <vt:lpstr>Cashflow</vt:lpstr>
      <vt:lpstr>Indicative Income Tables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Digby</dc:creator>
  <cp:lastModifiedBy>Jack Cresswell</cp:lastModifiedBy>
  <dcterms:created xsi:type="dcterms:W3CDTF">2016-10-21T09:07:12Z</dcterms:created>
  <dcterms:modified xsi:type="dcterms:W3CDTF">2019-10-03T10:45:53Z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0x01010006D813DC406C074D9866DD3C8CD8714E</vt:lpwstr>
  </property>
</Properties>
</file>